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Y:\OSP\GeauxGrants\Testing Enhancement\Updated help guides for TEST\"/>
    </mc:Choice>
  </mc:AlternateContent>
  <xr:revisionPtr revIDLastSave="0" documentId="13_ncr:1_{62265BAE-BFB6-409B-82FC-09781BA07B5B}" xr6:coauthVersionLast="47" xr6:coauthVersionMax="47" xr10:uidLastSave="{00000000-0000-0000-0000-000000000000}"/>
  <bookViews>
    <workbookView xWindow="28680" yWindow="-120" windowWidth="38640" windowHeight="21120" tabRatio="624" xr2:uid="{00000000-000D-0000-FFFF-FFFF00000000}"/>
  </bookViews>
  <sheets>
    <sheet name="Generic 5yr Budget One Column " sheetId="36" r:id="rId1"/>
    <sheet name="Look up tables" sheetId="31" state="hidden" r:id="rId2"/>
  </sheets>
  <definedNames>
    <definedName name="_xlnm._FilterDatabase" localSheetId="0" hidden="1">'Generic 5yr Budget One Column '!$J$13:$L$16</definedName>
    <definedName name="Dates2027">'Look up tables'!$A$2:$A$103</definedName>
    <definedName name="_xlnm.Print_Area" localSheetId="0">'Generic 5yr Budget One Column '!$A$1:$I$279</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36" l="1"/>
  <c r="G134" i="36"/>
  <c r="G180" i="36"/>
  <c r="G226" i="36"/>
  <c r="K268" i="36" l="1"/>
  <c r="K267" i="36"/>
  <c r="G267" i="36"/>
  <c r="K266" i="36"/>
  <c r="K265" i="36"/>
  <c r="E244" i="36"/>
  <c r="E243" i="36"/>
  <c r="E242" i="36"/>
  <c r="E241" i="36"/>
  <c r="E240" i="36"/>
  <c r="D235" i="36"/>
  <c r="D234" i="36"/>
  <c r="G217" i="36"/>
  <c r="E198" i="36"/>
  <c r="E197" i="36"/>
  <c r="E196" i="36"/>
  <c r="E195" i="36"/>
  <c r="E194" i="36"/>
  <c r="D189" i="36"/>
  <c r="G171" i="36"/>
  <c r="E152" i="36"/>
  <c r="E151" i="36"/>
  <c r="E150" i="36"/>
  <c r="E149" i="36"/>
  <c r="E148" i="36"/>
  <c r="G125" i="36"/>
  <c r="E106" i="36"/>
  <c r="G105" i="36"/>
  <c r="E105" i="36"/>
  <c r="E104" i="36"/>
  <c r="E103" i="36"/>
  <c r="E102" i="36"/>
  <c r="G84" i="36"/>
  <c r="G82" i="36"/>
  <c r="G81" i="36"/>
  <c r="G127" i="36" s="1"/>
  <c r="G173" i="36" s="1"/>
  <c r="G219" i="36" s="1"/>
  <c r="G80" i="36"/>
  <c r="G79" i="36"/>
  <c r="G77" i="36"/>
  <c r="G76" i="36"/>
  <c r="G122" i="36" s="1"/>
  <c r="G75" i="36"/>
  <c r="G121" i="36" s="1"/>
  <c r="K72" i="36"/>
  <c r="K119" i="36" s="1"/>
  <c r="K71" i="36"/>
  <c r="K118" i="36" s="1"/>
  <c r="K70" i="36"/>
  <c r="G67" i="36"/>
  <c r="G66" i="36"/>
  <c r="G112" i="36" s="1"/>
  <c r="G158" i="36" s="1"/>
  <c r="G204" i="36" s="1"/>
  <c r="G65" i="36"/>
  <c r="G111" i="36" s="1"/>
  <c r="G131" i="36" s="1"/>
  <c r="G64" i="36"/>
  <c r="G63" i="36"/>
  <c r="G61" i="36"/>
  <c r="G107" i="36" s="1"/>
  <c r="G153" i="36" s="1"/>
  <c r="G199" i="36" s="1"/>
  <c r="G60" i="36"/>
  <c r="G106" i="36" s="1"/>
  <c r="G152" i="36" s="1"/>
  <c r="G198" i="36" s="1"/>
  <c r="E60" i="36"/>
  <c r="G59" i="36"/>
  <c r="E59" i="36"/>
  <c r="G58" i="36"/>
  <c r="E58" i="36"/>
  <c r="G57" i="36"/>
  <c r="E57" i="36"/>
  <c r="G56" i="36"/>
  <c r="G102" i="36" s="1"/>
  <c r="E56" i="36"/>
  <c r="D51" i="36"/>
  <c r="D97" i="36" s="1"/>
  <c r="D143" i="36" s="1"/>
  <c r="D50" i="36"/>
  <c r="D96" i="36" s="1"/>
  <c r="D142" i="36" s="1"/>
  <c r="D188" i="36" s="1"/>
  <c r="D42" i="36"/>
  <c r="D226" i="36" s="1"/>
  <c r="G39" i="36"/>
  <c r="L38" i="36"/>
  <c r="L37" i="36"/>
  <c r="L36" i="36"/>
  <c r="L35" i="36"/>
  <c r="L79" i="36" s="1"/>
  <c r="G33" i="36"/>
  <c r="L29" i="36"/>
  <c r="L28" i="36"/>
  <c r="L27" i="36"/>
  <c r="G25" i="36"/>
  <c r="G24" i="36"/>
  <c r="G22" i="36"/>
  <c r="L30" i="36" l="1"/>
  <c r="G26" i="36" s="1"/>
  <c r="G42" i="36" s="1"/>
  <c r="G148" i="36"/>
  <c r="L118" i="36"/>
  <c r="K163" i="36"/>
  <c r="G167" i="36"/>
  <c r="G213" i="36" s="1"/>
  <c r="L71" i="36"/>
  <c r="G151" i="36"/>
  <c r="G197" i="36" s="1"/>
  <c r="G265" i="36"/>
  <c r="G85" i="36"/>
  <c r="G130" i="36"/>
  <c r="G176" i="36" s="1"/>
  <c r="G222" i="36" s="1"/>
  <c r="L119" i="36"/>
  <c r="K164" i="36"/>
  <c r="L128" i="36"/>
  <c r="L81" i="36"/>
  <c r="G110" i="36"/>
  <c r="L72" i="36"/>
  <c r="G126" i="36"/>
  <c r="G68" i="36"/>
  <c r="G109" i="36"/>
  <c r="G250" i="36"/>
  <c r="G70" i="36"/>
  <c r="L82" i="36"/>
  <c r="G128" i="36"/>
  <c r="G244" i="36"/>
  <c r="G71" i="36"/>
  <c r="G103" i="36"/>
  <c r="G113" i="36"/>
  <c r="G168" i="36"/>
  <c r="G245" i="36"/>
  <c r="G123" i="36"/>
  <c r="G104" i="36"/>
  <c r="L125" i="36"/>
  <c r="D180" i="36"/>
  <c r="D134" i="36"/>
  <c r="D272" i="36"/>
  <c r="D88" i="36"/>
  <c r="G157" i="36"/>
  <c r="G203" i="36" s="1"/>
  <c r="G263" i="36"/>
  <c r="L126" i="36"/>
  <c r="L170" i="36" s="1"/>
  <c r="L70" i="36"/>
  <c r="K117" i="36"/>
  <c r="L80" i="36"/>
  <c r="G27" i="36" l="1"/>
  <c r="G268" i="36"/>
  <c r="G214" i="36"/>
  <c r="G259" i="36"/>
  <c r="L163" i="36"/>
  <c r="K208" i="36"/>
  <c r="L208" i="36" s="1"/>
  <c r="G223" i="36"/>
  <c r="G243" i="36"/>
  <c r="L164" i="36"/>
  <c r="K209" i="36"/>
  <c r="L209" i="36" s="1"/>
  <c r="G194" i="36"/>
  <c r="G117" i="36"/>
  <c r="G159" i="36"/>
  <c r="G205" i="36" s="1"/>
  <c r="L127" i="36"/>
  <c r="G149" i="36"/>
  <c r="G195" i="36" s="1"/>
  <c r="G116" i="36"/>
  <c r="G114" i="36"/>
  <c r="L172" i="36"/>
  <c r="L219" i="36" s="1"/>
  <c r="G156" i="36"/>
  <c r="G202" i="36" s="1"/>
  <c r="G177" i="36"/>
  <c r="G269" i="36" s="1"/>
  <c r="G172" i="36"/>
  <c r="L169" i="36"/>
  <c r="G260" i="36"/>
  <c r="G150" i="36"/>
  <c r="G28" i="36"/>
  <c r="G174" i="36"/>
  <c r="G249" i="36"/>
  <c r="G169" i="36"/>
  <c r="L217" i="36"/>
  <c r="L117" i="36"/>
  <c r="L120" i="36" s="1"/>
  <c r="G118" i="36" s="1"/>
  <c r="K162" i="36"/>
  <c r="L73" i="36"/>
  <c r="G72" i="36" s="1"/>
  <c r="G155" i="36"/>
  <c r="G201" i="36" s="1"/>
  <c r="G251" i="36" l="1"/>
  <c r="G209" i="36"/>
  <c r="G220" i="36"/>
  <c r="G218" i="36"/>
  <c r="L162" i="36"/>
  <c r="L165" i="36" s="1"/>
  <c r="G164" i="36" s="1"/>
  <c r="K207" i="36"/>
  <c r="L207" i="36" s="1"/>
  <c r="L210" i="36" s="1"/>
  <c r="G210" i="36" s="1"/>
  <c r="G240" i="36"/>
  <c r="G73" i="36"/>
  <c r="G74" i="36" s="1"/>
  <c r="G86" i="36" s="1"/>
  <c r="G215" i="36"/>
  <c r="G196" i="36"/>
  <c r="G247" i="36"/>
  <c r="G40" i="36"/>
  <c r="L171" i="36"/>
  <c r="G163" i="36"/>
  <c r="G248" i="36"/>
  <c r="G255" i="36"/>
  <c r="G160" i="36"/>
  <c r="G162" i="36"/>
  <c r="G241" i="36"/>
  <c r="L216" i="36"/>
  <c r="G119" i="36"/>
  <c r="G206" i="36" l="1"/>
  <c r="G208" i="36"/>
  <c r="G254" i="36" s="1"/>
  <c r="G256" i="36"/>
  <c r="G264" i="36"/>
  <c r="G261" i="36"/>
  <c r="G266" i="36"/>
  <c r="G242" i="36"/>
  <c r="L218" i="36"/>
  <c r="G43" i="36"/>
  <c r="F42" i="36"/>
  <c r="G120" i="36"/>
  <c r="G165" i="36"/>
  <c r="G252" i="36"/>
  <c r="G89" i="36"/>
  <c r="F88" i="36"/>
  <c r="G211" i="36" l="1"/>
  <c r="G257" i="36" s="1"/>
  <c r="G272" i="36"/>
  <c r="G132" i="36"/>
  <c r="G166" i="36"/>
  <c r="G178" i="36" s="1"/>
  <c r="G212" i="36" l="1"/>
  <c r="G224" i="36" s="1"/>
  <c r="G227" i="36" s="1"/>
  <c r="G181" i="36"/>
  <c r="F180" i="36"/>
  <c r="G135" i="36"/>
  <c r="F134" i="36"/>
  <c r="G270" i="36" l="1"/>
  <c r="F226" i="36"/>
  <c r="F272" i="36" s="1"/>
  <c r="G258" i="36"/>
  <c r="G273" i="36"/>
  <c r="A68" i="31" l="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Office of Computing Services</author>
  </authors>
  <commentList>
    <comment ref="J16" authorId="0" shapeId="0" xr:uid="{D1A4FFD7-58F9-4E0B-B66E-0EF2CFC6D950}">
      <text>
        <r>
          <rPr>
            <b/>
            <sz val="8"/>
            <color indexed="81"/>
            <rFont val="Tahoma"/>
            <family val="2"/>
          </rPr>
          <t>If F&amp;A is sponsor limited, select "Other" and enter sponsor limited rate in J17.</t>
        </r>
        <r>
          <rPr>
            <sz val="8"/>
            <color indexed="81"/>
            <rFont val="Tahoma"/>
            <family val="2"/>
          </rPr>
          <t xml:space="preserve">
</t>
        </r>
      </text>
    </comment>
    <comment ref="G21" authorId="1" shapeId="0" xr:uid="{AE56CBDE-1D99-4CE2-A958-8472CCBE93CB}">
      <text>
        <r>
          <rPr>
            <sz val="9"/>
            <color indexed="81"/>
            <rFont val="Tahoma"/>
            <family val="2"/>
          </rPr>
          <t xml:space="preserve">Contingent Employees are appointed less than 180 consecutive days and Transients work on a recurring but intermittent basis (WAE-When Actually Employed).
</t>
        </r>
      </text>
    </comment>
    <comment ref="G33" authorId="2" shapeId="0" xr:uid="{C97EED9F-F945-4E23-A0F5-55B1A4DCB85B}">
      <text>
        <r>
          <rPr>
            <sz val="8"/>
            <color indexed="81"/>
            <rFont val="Tahoma"/>
            <family val="2"/>
          </rPr>
          <t>Insert all Subcontract funds in Column K.</t>
        </r>
      </text>
    </comment>
    <comment ref="G38" authorId="0" shapeId="0" xr:uid="{B03ED985-813B-4C64-AD9F-B95A3065338A}">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G39" authorId="1" shapeId="0" xr:uid="{602DA402-B191-4F9C-9F4A-C3CFA229A86E}">
      <text>
        <r>
          <rPr>
            <sz val="9"/>
            <color indexed="81"/>
            <rFont val="Tahoma"/>
            <family val="2"/>
          </rPr>
          <t>Do not budget tuition remission when it is prohibited by the sponsor's published guidelines.</t>
        </r>
        <r>
          <rPr>
            <sz val="9"/>
            <color indexed="81"/>
            <rFont val="Tahoma"/>
            <family val="2"/>
          </rPr>
          <t xml:space="preserve">
</t>
        </r>
      </text>
    </comment>
    <comment ref="G67" authorId="0" shapeId="0" xr:uid="{5522B9F2-5800-443C-A3DD-A68907514936}">
      <text>
        <r>
          <rPr>
            <sz val="9"/>
            <color indexed="81"/>
            <rFont val="Tahoma"/>
            <family val="2"/>
          </rPr>
          <t>Contingent Employees are appointed less than 180 consecutive days and Transients work on a recurring but intermittent basis (WAE-When Actually Employed).</t>
        </r>
        <r>
          <rPr>
            <sz val="9"/>
            <color indexed="81"/>
            <rFont val="Tahoma"/>
            <family val="2"/>
          </rPr>
          <t xml:space="preserve">
</t>
        </r>
      </text>
    </comment>
    <comment ref="G79" authorId="2" shapeId="0" xr:uid="{48BE49CC-68D3-4B59-B873-2270BB9ACFCD}">
      <text>
        <r>
          <rPr>
            <sz val="8"/>
            <color indexed="81"/>
            <rFont val="Tahoma"/>
            <family val="2"/>
          </rPr>
          <t>Insert all Subcontract funds in Column K.</t>
        </r>
      </text>
    </comment>
    <comment ref="G85" authorId="1" shapeId="0" xr:uid="{495B1008-04B3-4269-B3C3-1E7293AA3963}">
      <text>
        <r>
          <rPr>
            <sz val="9"/>
            <color indexed="81"/>
            <rFont val="Tahoma"/>
            <family val="2"/>
          </rPr>
          <t>Do not budget tuition remission when it is prohibited by the sponsor's published guidelines.</t>
        </r>
        <r>
          <rPr>
            <sz val="9"/>
            <color indexed="81"/>
            <rFont val="Tahoma"/>
            <family val="2"/>
          </rPr>
          <t xml:space="preserve">
</t>
        </r>
      </text>
    </comment>
    <comment ref="G113" authorId="0" shapeId="0" xr:uid="{22F4A6C7-E537-4479-93B8-A27358817C32}">
      <text>
        <r>
          <rPr>
            <sz val="9"/>
            <color indexed="81"/>
            <rFont val="Tahoma"/>
            <family val="2"/>
          </rPr>
          <t xml:space="preserve">Contingent Employees are appointed less than 180 consecutive days and Transients work on a recurring but intermittent basis (WAE-When Actually Employed).
</t>
        </r>
      </text>
    </comment>
    <comment ref="G125" authorId="2" shapeId="0" xr:uid="{DD2DE45E-5503-469A-934F-9775FE7CDEFC}">
      <text>
        <r>
          <rPr>
            <sz val="8"/>
            <color indexed="81"/>
            <rFont val="Tahoma"/>
            <family val="2"/>
          </rPr>
          <t>Insert all Subcontract funds in Column K.</t>
        </r>
      </text>
    </comment>
    <comment ref="G131" authorId="1" shapeId="0" xr:uid="{81696566-BB41-4A8F-B651-C9443D2D21B4}">
      <text>
        <r>
          <rPr>
            <sz val="9"/>
            <color indexed="81"/>
            <rFont val="Tahoma"/>
            <family val="2"/>
          </rPr>
          <t>Do not budget tuition remission when it is prohibited by the sponsor's published guidelines.</t>
        </r>
        <r>
          <rPr>
            <sz val="9"/>
            <color indexed="81"/>
            <rFont val="Tahoma"/>
            <family val="2"/>
          </rPr>
          <t xml:space="preserve">
</t>
        </r>
      </text>
    </comment>
    <comment ref="G159" authorId="0" shapeId="0" xr:uid="{564E7573-1032-438A-A786-F11A9265DC0D}">
      <text>
        <r>
          <rPr>
            <sz val="9"/>
            <color indexed="81"/>
            <rFont val="Tahoma"/>
            <family val="2"/>
          </rPr>
          <t xml:space="preserve">Contingent Employees are appointed less than 180 consecutive days and Transients work on a recurring but intermittent basis (WAE-When Actually Employed).
</t>
        </r>
      </text>
    </comment>
    <comment ref="G171" authorId="2" shapeId="0" xr:uid="{FFA12310-275E-45C1-88A4-F28CB362C739}">
      <text>
        <r>
          <rPr>
            <sz val="8"/>
            <color indexed="81"/>
            <rFont val="Tahoma"/>
            <family val="2"/>
          </rPr>
          <t>Insert all Subcontract funds in Column K.</t>
        </r>
      </text>
    </comment>
    <comment ref="G177" authorId="1" shapeId="0" xr:uid="{9F8219F2-3155-4EB9-86CC-406C7BF62899}">
      <text>
        <r>
          <rPr>
            <sz val="9"/>
            <color indexed="81"/>
            <rFont val="Tahoma"/>
            <family val="2"/>
          </rPr>
          <t>Do not budget tuition remission when it is prohibited by the sponsor's published guidelines.</t>
        </r>
        <r>
          <rPr>
            <sz val="9"/>
            <color indexed="81"/>
            <rFont val="Tahoma"/>
            <family val="2"/>
          </rPr>
          <t xml:space="preserve">
</t>
        </r>
      </text>
    </comment>
    <comment ref="G205" authorId="0" shapeId="0" xr:uid="{4824A6F5-842A-4244-A4C3-D5E361C19F0C}">
      <text>
        <r>
          <rPr>
            <sz val="9"/>
            <color indexed="81"/>
            <rFont val="Tahoma"/>
            <family val="2"/>
          </rPr>
          <t xml:space="preserve">Contingent Employees are appointed less than 180 consecutive days and Transients work on a recurring but intermittent basis (WAE-When Actually Employed).
</t>
        </r>
      </text>
    </comment>
    <comment ref="G217" authorId="2" shapeId="0" xr:uid="{88B05389-4ECD-4A96-8338-E4516BDE42D2}">
      <text>
        <r>
          <rPr>
            <sz val="8"/>
            <color indexed="81"/>
            <rFont val="Tahoma"/>
            <family val="2"/>
          </rPr>
          <t>Insert all Subcontract funds in Column K.</t>
        </r>
      </text>
    </comment>
    <comment ref="G223" authorId="1" shapeId="0" xr:uid="{562FE88E-EB62-40E2-B1A4-30D735D06E67}">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<sst xmlns="http://schemas.openxmlformats.org/spreadsheetml/2006/main" count="506" uniqueCount="112">
  <si>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</si>
  <si>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</si>
  <si>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</si>
  <si>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</si>
  <si>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</si>
  <si>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</si>
  <si>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</si>
  <si>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</si>
  <si>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</si>
  <si>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</si>
  <si>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</si>
  <si>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</si>
  <si>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</si>
  <si>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</si>
  <si>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</si>
  <si>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</si>
  <si>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</si>
  <si>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</si>
  <si>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</si>
  <si>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</si>
  <si>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</si>
  <si>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</si>
  <si>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</si>
  <si>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</si>
  <si>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</si>
  <si>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</si>
  <si>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</si>
  <si>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</si>
  <si>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</si>
  <si>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</si>
  <si>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</si>
  <si>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</si>
  <si>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</si>
  <si>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</si>
  <si>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</si>
  <si>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</si>
  <si>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</si>
  <si>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</si>
  <si>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</si>
  <si>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</si>
  <si>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</si>
  <si>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</si>
  <si>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</si>
  <si>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</si>
  <si>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</si>
  <si>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</si>
  <si>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</si>
  <si>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</si>
  <si>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</si>
  <si>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</si>
  <si>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</si>
  <si>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</si>
  <si>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</si>
  <si>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</si>
  <si>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</si>
  <si>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</si>
  <si>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</si>
  <si>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</si>
  <si>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</si>
  <si>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</si>
  <si>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</si>
  <si>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</si>
  <si>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</si>
  <si>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</si>
  <si>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</si>
  <si>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</si>
  <si>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</si>
  <si>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</si>
  <si>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</si>
  <si>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</si>
  <si>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</si>
  <si>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Off-Campus State</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</si>
  <si>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</si>
  <si>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</si>
  <si>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</si>
  <si>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</si>
  <si>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</si>
  <si>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</si>
  <si>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</si>
  <si>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</si>
  <si>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</si>
  <si>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</si>
  <si>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</si>
  <si>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</si>
  <si>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</si>
  <si>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</si>
  <si>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</si>
  <si>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</si>
  <si>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Tuition Remission</t>
  </si>
  <si>
    <t>Tuition Remission                           @</t>
  </si>
  <si>
    <t>Office of Sponsored Programs</t>
  </si>
  <si>
    <t>Date</t>
  </si>
  <si>
    <t xml:space="preserve">**Base = MTDC = Total Direct Costs - Equipment - Each Subcontract in excess of $25,000 (only the first $25,000 of each </t>
  </si>
  <si>
    <t>subcontract is included) - Tuition Remission - Participant Support Costs</t>
  </si>
  <si>
    <t>Q.</t>
  </si>
  <si>
    <t>Participant Support Costs</t>
  </si>
  <si>
    <t>Darya Courville, Executive Director</t>
  </si>
  <si>
    <t>Enter Projected Start Date (Month/Year)</t>
  </si>
  <si>
    <t>No. Project Years</t>
  </si>
  <si>
    <t>Type of Graduate Assistant</t>
  </si>
  <si>
    <t>Calendar</t>
  </si>
  <si>
    <t xml:space="preserve">Academic </t>
  </si>
  <si>
    <t>Summer</t>
  </si>
  <si>
    <t>Graduate Assistant</t>
  </si>
  <si>
    <t xml:space="preserve"> </t>
  </si>
  <si>
    <t>Research On-Campus</t>
  </si>
  <si>
    <t>Public Service On-Campus</t>
  </si>
  <si>
    <t>Instruction On-Campus</t>
  </si>
  <si>
    <t>Yearly Effort in Months (combined for all GAs)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</si>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</sst>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0.0%"/>
    <numFmt numFmtId="165" formatCode="&quot;$&quot;#,##0"/>
    <numFmt numFmtId="166" formatCode="mmmm\-yy"/>
    <numFmt numFmtId="167" formatCode="mmm\-yyyy"/>
    <numFmt numFmtId="168" formatCode="mmmm\-yyyy"/>
    <numFmt numFmtId="169" formatCode="&quot;$&quot;#,##0.00"/>
  </numFmts>
  <fonts count="18">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47"/>
        <bgColor indexed="47"/>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03">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2" xfId="0" quotePrefix="1" applyFont="1" applyBorder="1" applyAlignment="1">
      <alignment horizontal="center"/>
    </xf>
    <xf numFmtId="0" fontId="5" fillId="0" borderId="6" xfId="0" applyFont="1" applyBorder="1"/>
    <xf numFmtId="0" fontId="5" fillId="0" borderId="7" xfId="0" applyFont="1" applyBorder="1" applyAlignment="1">
      <alignment horizontal="center"/>
    </xf>
    <xf numFmtId="0" fontId="5" fillId="0" borderId="8" xfId="0" applyFont="1" applyBorder="1"/>
    <xf numFmtId="0" fontId="5" fillId="0" borderId="9"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10" xfId="0" applyFont="1" applyBorder="1"/>
    <xf numFmtId="0" fontId="6"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xf>
    <xf numFmtId="165" fontId="5" fillId="0" borderId="13" xfId="0" applyNumberFormat="1" applyFont="1" applyBorder="1" applyAlignment="1">
      <alignment horizontal="center"/>
    </xf>
    <xf numFmtId="165" fontId="5" fillId="0" borderId="14" xfId="0" applyNumberFormat="1" applyFont="1" applyBorder="1" applyAlignment="1">
      <alignment horizontal="center"/>
    </xf>
    <xf numFmtId="165" fontId="6" fillId="0" borderId="15" xfId="0" applyNumberFormat="1" applyFont="1" applyBorder="1" applyAlignment="1">
      <alignment horizontal="center"/>
    </xf>
    <xf numFmtId="0" fontId="5" fillId="0" borderId="0" xfId="0" quotePrefix="1" applyFont="1" applyAlignment="1">
      <alignment horizontal="center"/>
    </xf>
    <xf numFmtId="0" fontId="5" fillId="0" borderId="5" xfId="0" applyFont="1" applyBorder="1" applyAlignment="1">
      <alignment horizontal="right"/>
    </xf>
    <xf numFmtId="164" fontId="8" fillId="0" borderId="0" xfId="0" applyNumberFormat="1" applyFont="1" applyAlignment="1" applyProtection="1">
      <alignment horizontal="left"/>
      <protection locked="0"/>
    </xf>
    <xf numFmtId="0" fontId="9" fillId="0" borderId="0" xfId="0" applyFont="1" applyAlignment="1">
      <alignment horizontal="right"/>
    </xf>
    <xf numFmtId="5" fontId="8" fillId="0" borderId="16" xfId="0" applyNumberFormat="1" applyFont="1" applyBorder="1" applyAlignment="1">
      <alignment horizontal="left"/>
    </xf>
    <xf numFmtId="165" fontId="5" fillId="2" borderId="13" xfId="0" applyNumberFormat="1" applyFont="1" applyFill="1" applyBorder="1" applyAlignment="1">
      <alignment horizontal="center"/>
    </xf>
    <xf numFmtId="0" fontId="0" fillId="0" borderId="0" xfId="0" applyAlignment="1">
      <alignment horizontal="centerContinuous"/>
    </xf>
    <xf numFmtId="0" fontId="0" fillId="0" borderId="0" xfId="0" applyAlignment="1">
      <alignment horizontal="left"/>
    </xf>
    <xf numFmtId="0" fontId="6" fillId="0" borderId="17" xfId="0" applyFont="1" applyBorder="1" applyAlignment="1">
      <alignment horizontal="center"/>
    </xf>
    <xf numFmtId="0" fontId="5" fillId="3" borderId="14" xfId="0" applyFont="1" applyFill="1" applyBorder="1"/>
    <xf numFmtId="165" fontId="5" fillId="2" borderId="14" xfId="0" applyNumberFormat="1" applyFont="1" applyFill="1" applyBorder="1" applyAlignment="1">
      <alignment horizontal="center"/>
    </xf>
    <xf numFmtId="0" fontId="5" fillId="0" borderId="18" xfId="0" applyFont="1" applyBorder="1" applyAlignment="1">
      <alignment horizontal="center"/>
    </xf>
    <xf numFmtId="0" fontId="5" fillId="0" borderId="5" xfId="0" quotePrefix="1" applyFont="1" applyBorder="1" applyAlignment="1">
      <alignment horizontal="center"/>
    </xf>
    <xf numFmtId="0" fontId="0" fillId="0" borderId="19" xfId="0" applyBorder="1"/>
    <xf numFmtId="0" fontId="0" fillId="0" borderId="20" xfId="0" applyBorder="1"/>
    <xf numFmtId="0" fontId="0" fillId="0" borderId="21" xfId="0" applyBorder="1"/>
    <xf numFmtId="165" fontId="0" fillId="0" borderId="22" xfId="0" applyNumberFormat="1" applyBorder="1"/>
    <xf numFmtId="165" fontId="0" fillId="0" borderId="8" xfId="0" applyNumberFormat="1" applyBorder="1"/>
    <xf numFmtId="165" fontId="0" fillId="0" borderId="10" xfId="0" applyNumberFormat="1" applyBorder="1"/>
    <xf numFmtId="0" fontId="0" fillId="0" borderId="23"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4"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4" xfId="1" applyFont="1" applyFill="1" applyBorder="1"/>
    <xf numFmtId="168" fontId="0" fillId="5" borderId="24" xfId="0" applyNumberFormat="1" applyFill="1" applyBorder="1"/>
    <xf numFmtId="168" fontId="0" fillId="0" borderId="0" xfId="0" applyNumberFormat="1"/>
    <xf numFmtId="0" fontId="5" fillId="3" borderId="25" xfId="0" applyFont="1" applyFill="1" applyBorder="1"/>
    <xf numFmtId="164" fontId="8" fillId="0" borderId="6" xfId="0" applyNumberFormat="1" applyFont="1" applyBorder="1" applyAlignment="1" applyProtection="1">
      <alignment horizontal="left"/>
      <protection locked="0"/>
    </xf>
    <xf numFmtId="0" fontId="5" fillId="0" borderId="26" xfId="0" applyFont="1" applyBorder="1" applyAlignment="1">
      <alignment horizontal="center"/>
    </xf>
    <xf numFmtId="0" fontId="5" fillId="0" borderId="27"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8" xfId="0" applyFont="1" applyBorder="1" applyAlignment="1">
      <alignment horizontal="center"/>
    </xf>
    <xf numFmtId="0" fontId="5" fillId="0" borderId="29" xfId="0" applyFont="1" applyBorder="1"/>
    <xf numFmtId="0" fontId="6" fillId="0" borderId="0" xfId="0" applyFont="1" applyAlignment="1" applyProtection="1">
      <alignment horizontal="center" vertical="center"/>
      <protection locked="0"/>
    </xf>
    <xf numFmtId="10" fontId="8" fillId="0" borderId="6" xfId="0" applyNumberFormat="1" applyFont="1" applyBorder="1" applyAlignment="1" applyProtection="1">
      <alignment horizontal="left"/>
      <protection locked="0"/>
    </xf>
    <xf numFmtId="6" fontId="5" fillId="0" borderId="6" xfId="0" applyNumberFormat="1" applyFont="1" applyBorder="1"/>
    <xf numFmtId="9" fontId="8" fillId="0" borderId="6" xfId="0" applyNumberFormat="1" applyFont="1" applyBorder="1" applyAlignment="1" applyProtection="1">
      <alignment horizontal="left"/>
      <protection locked="0"/>
    </xf>
    <xf numFmtId="2" fontId="5" fillId="0" borderId="2" xfId="0" applyNumberFormat="1" applyFont="1" applyBorder="1"/>
    <xf numFmtId="9" fontId="8" fillId="0" borderId="6"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5" fillId="0" borderId="1" xfId="0" applyFont="1" applyBorder="1" applyAlignment="1">
      <alignment horizontal="left" wrapText="1"/>
    </xf>
    <xf numFmtId="0" fontId="0" fillId="0" borderId="0" xfId="0" applyAlignment="1">
      <alignment horizontal="center"/>
    </xf>
    <xf numFmtId="0" fontId="5" fillId="0" borderId="0" xfId="0" applyFont="1" applyAlignment="1">
      <alignment horizontal="left" wrapText="1"/>
    </xf>
    <xf numFmtId="0" fontId="0" fillId="0" borderId="2" xfId="0" applyBorder="1"/>
    <xf numFmtId="0" fontId="5" fillId="0" borderId="0" xfId="0" applyFont="1" applyAlignment="1">
      <alignment horizontal="center"/>
    </xf>
    <xf numFmtId="165" fontId="6" fillId="0" borderId="0" xfId="0" applyNumberFormat="1" applyFont="1" applyAlignment="1">
      <alignment horizontal="center"/>
    </xf>
    <xf numFmtId="0" fontId="5" fillId="0" borderId="1" xfId="0" applyFont="1" applyBorder="1" applyAlignment="1">
      <alignment horizontal="left"/>
    </xf>
    <xf numFmtId="0" fontId="15" fillId="0" borderId="0" xfId="0" applyFont="1" applyAlignment="1">
      <alignment wrapText="1"/>
    </xf>
    <xf numFmtId="0" fontId="16" fillId="0" borderId="0" xfId="0" applyFont="1" applyAlignment="1">
      <alignment horizontal="center" wrapText="1"/>
    </xf>
    <xf numFmtId="0" fontId="17" fillId="0" borderId="0" xfId="0" applyFont="1"/>
    <xf numFmtId="0" fontId="14" fillId="5" borderId="23" xfId="0" applyFont="1" applyFill="1" applyBorder="1"/>
    <xf numFmtId="0" fontId="17" fillId="5" borderId="23" xfId="0" applyFont="1" applyFill="1" applyBorder="1"/>
    <xf numFmtId="165" fontId="17" fillId="6" borderId="23" xfId="0" applyNumberFormat="1" applyFont="1" applyFill="1" applyBorder="1" applyAlignment="1">
      <alignment horizontal="center" vertical="center"/>
    </xf>
    <xf numFmtId="0" fontId="16" fillId="0" borderId="0" xfId="0" applyFont="1" applyAlignment="1">
      <alignment wrapText="1"/>
    </xf>
    <xf numFmtId="0" fontId="14" fillId="5" borderId="17" xfId="0" applyFont="1" applyFill="1" applyBorder="1"/>
    <xf numFmtId="0" fontId="14" fillId="5" borderId="30" xfId="0" applyFont="1" applyFill="1" applyBorder="1"/>
    <xf numFmtId="0" fontId="1" fillId="5" borderId="24" xfId="0" applyFont="1" applyFill="1" applyBorder="1" applyAlignment="1">
      <alignment horizontal="left"/>
    </xf>
    <xf numFmtId="0" fontId="0" fillId="0" borderId="23" xfId="0" applyBorder="1"/>
    <xf numFmtId="165" fontId="0" fillId="0" borderId="23" xfId="0" applyNumberFormat="1" applyBorder="1"/>
    <xf numFmtId="0" fontId="5" fillId="0" borderId="1" xfId="0" applyFont="1" applyBorder="1" applyAlignment="1">
      <alignment horizontal="left" wrapText="1"/>
    </xf>
    <xf numFmtId="0" fontId="6" fillId="0" borderId="0" xfId="0" applyFont="1" applyAlignment="1">
      <alignment horizontal="center"/>
    </xf>
    <xf numFmtId="0" fontId="6" fillId="0" borderId="0" xfId="0" applyFont="1" applyAlignment="1" applyProtection="1">
      <alignment horizontal="center" vertical="center"/>
      <protection locked="0"/>
    </xf>
    <xf numFmtId="169" fontId="0" fillId="0" borderId="0" xfId="2" applyNumberFormat="1" applyFont="1"/>
    <xf numFmtId="165" fontId="0" fillId="0" borderId="0" xfId="2" applyNumberFormat="1" applyFont="1"/>
    <xf numFmtId="165" fontId="0" fillId="0" borderId="0" xfId="0" applyNumberFormat="1"/>
    <xf numFmtId="165" fontId="10" fillId="0" borderId="0" xfId="0" applyNumberFormat="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6377B-8C3C-4A1C-8369-E2E624D4D758}">
  <dimension ref="A1:O279"/>
  <sheetViews>
    <sheetView tabSelected="1" zoomScaleNormal="100" workbookViewId="0">
      <selection activeCell="O6" sqref="O6"/>
    </sheetView>
  </sheetViews>
  <sheetFormatPr defaultRowHeight="13.2"/>
  <cols>
    <col min="1" max="1" width="9" customWidth="1"/>
    <col min="2" max="2" width="10.109375" customWidth="1"/>
    <col min="3" max="3" width="4.5546875" customWidth="1"/>
    <col min="4" max="4" width="8" customWidth="1"/>
    <col min="5" max="5" width="28.33203125" customWidth="1"/>
    <col min="6" max="6" width="11.88671875" customWidth="1"/>
    <col min="7" max="7" width="18.109375" customWidth="1"/>
    <col min="8" max="8" width="14" customWidth="1"/>
    <col min="9" max="9" width="3.109375" customWidth="1"/>
    <col min="10" max="10" width="19.88671875" customWidth="1"/>
    <col min="11" max="11" width="23.109375" customWidth="1"/>
    <col min="12" max="12" width="11.109375" customWidth="1"/>
    <col min="15" max="15" width="15" customWidth="1"/>
  </cols>
  <sheetData>
    <row r="1" spans="1:10" ht="15.6">
      <c r="A1" s="1" t="s">
        <v>16</v>
      </c>
      <c r="B1" s="31"/>
      <c r="C1" s="31"/>
      <c r="D1" s="31"/>
      <c r="E1" s="31"/>
      <c r="F1" s="31"/>
      <c r="G1" s="31"/>
      <c r="H1" s="31"/>
      <c r="I1" s="31"/>
      <c r="J1" s="91" t="s">
        <v>98</v>
      </c>
    </row>
    <row r="2" spans="1:10" ht="16.2" thickBot="1">
      <c r="A2" s="3" t="s">
        <v>20</v>
      </c>
      <c r="B2" s="31"/>
      <c r="C2" s="31"/>
      <c r="D2" s="31"/>
      <c r="E2" s="31"/>
      <c r="F2" s="31"/>
      <c r="G2" s="31"/>
      <c r="H2" s="31"/>
      <c r="I2" s="31"/>
      <c r="J2" s="92">
        <v>1</v>
      </c>
    </row>
    <row r="3" spans="1:10" ht="15.6">
      <c r="A3" s="3" t="s">
        <v>17</v>
      </c>
      <c r="B3" s="31"/>
      <c r="C3" s="31"/>
      <c r="D3" s="31"/>
      <c r="E3" s="31"/>
      <c r="F3" s="31"/>
      <c r="G3" s="31"/>
      <c r="H3" s="31"/>
      <c r="I3" s="31"/>
      <c r="J3" s="32"/>
    </row>
    <row r="4" spans="1:10" ht="36.75" customHeight="1">
      <c r="A4" s="4" t="s">
        <v>22</v>
      </c>
      <c r="B4" s="2"/>
      <c r="D4" s="96" t="s">
        <v>72</v>
      </c>
      <c r="E4" s="96"/>
      <c r="F4" s="96"/>
      <c r="G4" s="96"/>
      <c r="H4" s="96"/>
      <c r="I4" s="77"/>
      <c r="J4" s="79"/>
    </row>
    <row r="5" spans="1:10" ht="15.6">
      <c r="A5" s="50" t="s">
        <v>21</v>
      </c>
      <c r="B5" s="2"/>
      <c r="C5" s="4"/>
      <c r="D5" s="64" t="s">
        <v>73</v>
      </c>
      <c r="E5" s="64"/>
      <c r="F5" s="64"/>
      <c r="G5" s="64"/>
      <c r="H5" s="64"/>
      <c r="I5" s="64"/>
    </row>
    <row r="7" spans="1:10" ht="13.8" thickBot="1">
      <c r="J7" s="48"/>
    </row>
    <row r="8" spans="1:10" ht="18" customHeight="1" thickBot="1">
      <c r="C8" s="2"/>
      <c r="D8" s="2"/>
      <c r="E8" s="2"/>
      <c r="F8" s="2"/>
      <c r="G8" s="66" t="s">
        <v>23</v>
      </c>
      <c r="J8" s="48" t="s">
        <v>64</v>
      </c>
    </row>
    <row r="9" spans="1:10" ht="18" customHeight="1" thickBot="1">
      <c r="C9" s="60" t="s">
        <v>0</v>
      </c>
      <c r="D9" s="67" t="s">
        <v>74</v>
      </c>
      <c r="E9" s="61"/>
      <c r="F9" s="61"/>
      <c r="G9" s="58"/>
      <c r="J9" s="49">
        <v>0</v>
      </c>
    </row>
    <row r="10" spans="1:10" ht="18" customHeight="1">
      <c r="C10" s="9"/>
      <c r="D10" s="10" t="s">
        <v>1</v>
      </c>
      <c r="E10" s="6"/>
      <c r="F10" s="11"/>
      <c r="G10" s="22"/>
      <c r="H10" s="100"/>
      <c r="J10" s="48" t="s">
        <v>65</v>
      </c>
    </row>
    <row r="11" spans="1:10" ht="18" customHeight="1" thickBot="1">
      <c r="C11" s="9"/>
      <c r="D11" s="10" t="s">
        <v>2</v>
      </c>
      <c r="E11" s="6"/>
      <c r="F11" s="11"/>
      <c r="G11" s="22"/>
      <c r="H11" s="100"/>
      <c r="J11" s="48" t="s">
        <v>66</v>
      </c>
    </row>
    <row r="12" spans="1:10" ht="18" customHeight="1" thickBot="1">
      <c r="C12" s="9"/>
      <c r="D12" s="10" t="s">
        <v>3</v>
      </c>
      <c r="E12" s="6"/>
      <c r="F12" s="11"/>
      <c r="G12" s="22"/>
      <c r="H12" s="100"/>
      <c r="J12" s="49">
        <v>0</v>
      </c>
    </row>
    <row r="13" spans="1:10" ht="18" customHeight="1" thickBot="1">
      <c r="C13" s="9"/>
      <c r="D13" s="10" t="s">
        <v>4</v>
      </c>
      <c r="E13" s="6"/>
      <c r="F13" s="11"/>
      <c r="G13" s="22"/>
      <c r="H13" s="100"/>
      <c r="J13" s="48" t="s">
        <v>97</v>
      </c>
    </row>
    <row r="14" spans="1:10" ht="18" customHeight="1" thickBot="1">
      <c r="C14" s="9"/>
      <c r="D14" s="10" t="s">
        <v>24</v>
      </c>
      <c r="E14" s="6"/>
      <c r="F14" s="11"/>
      <c r="G14" s="22"/>
      <c r="H14" s="100"/>
      <c r="J14" s="56"/>
    </row>
    <row r="15" spans="1:10" ht="18" customHeight="1" thickBot="1">
      <c r="C15" s="9"/>
      <c r="D15" s="10" t="s">
        <v>25</v>
      </c>
      <c r="E15" s="6" t="s">
        <v>48</v>
      </c>
      <c r="F15" s="11"/>
      <c r="G15" s="22"/>
      <c r="H15" s="100"/>
      <c r="J15" s="48" t="s">
        <v>67</v>
      </c>
    </row>
    <row r="16" spans="1:10" ht="18" customHeight="1" thickBot="1">
      <c r="C16" s="9" t="s">
        <v>33</v>
      </c>
      <c r="D16" s="64" t="s">
        <v>75</v>
      </c>
      <c r="E16" s="6"/>
      <c r="F16" s="11"/>
      <c r="G16" s="34"/>
      <c r="H16" s="100"/>
      <c r="J16" s="93" t="s">
        <v>105</v>
      </c>
    </row>
    <row r="17" spans="3:12" ht="18" customHeight="1" thickBot="1">
      <c r="C17" s="9"/>
      <c r="D17" s="10" t="s">
        <v>1</v>
      </c>
      <c r="E17" s="6" t="s">
        <v>30</v>
      </c>
      <c r="F17" s="11"/>
      <c r="G17" s="22"/>
      <c r="H17" s="100"/>
      <c r="J17" s="55"/>
      <c r="K17" s="48" t="s">
        <v>83</v>
      </c>
    </row>
    <row r="18" spans="3:12" ht="18" customHeight="1">
      <c r="C18" s="9"/>
      <c r="D18" s="10" t="s">
        <v>2</v>
      </c>
      <c r="E18" s="6" t="s">
        <v>31</v>
      </c>
      <c r="F18" s="11"/>
      <c r="G18" s="22"/>
      <c r="H18" s="100"/>
      <c r="J18" s="48"/>
    </row>
    <row r="19" spans="3:12" ht="18" customHeight="1">
      <c r="C19" s="9"/>
      <c r="D19" s="10" t="s">
        <v>3</v>
      </c>
      <c r="E19" s="6" t="s">
        <v>26</v>
      </c>
      <c r="F19" s="11"/>
      <c r="G19" s="22"/>
      <c r="H19" s="100"/>
    </row>
    <row r="20" spans="3:12" ht="18" customHeight="1">
      <c r="C20" s="9"/>
      <c r="D20" s="65" t="s">
        <v>4</v>
      </c>
      <c r="E20" s="5" t="s">
        <v>27</v>
      </c>
      <c r="F20" s="5"/>
      <c r="G20" s="22"/>
      <c r="H20" s="100"/>
      <c r="J20" s="101"/>
    </row>
    <row r="21" spans="3:12" ht="18" customHeight="1">
      <c r="C21" s="9"/>
      <c r="D21" s="65" t="s">
        <v>24</v>
      </c>
      <c r="E21" s="5" t="s">
        <v>82</v>
      </c>
      <c r="F21" s="5"/>
      <c r="G21" s="22"/>
      <c r="H21" s="100"/>
    </row>
    <row r="22" spans="3:12" ht="18" customHeight="1">
      <c r="C22" s="9" t="s">
        <v>5</v>
      </c>
      <c r="D22" s="6" t="s">
        <v>37</v>
      </c>
      <c r="E22" s="6"/>
      <c r="F22" s="5"/>
      <c r="G22" s="22">
        <f>SUM(G10:G21)</f>
        <v>0</v>
      </c>
      <c r="H22" s="100"/>
    </row>
    <row r="23" spans="3:12" ht="18" customHeight="1">
      <c r="C23" s="9" t="s">
        <v>6</v>
      </c>
      <c r="D23" s="6" t="s">
        <v>78</v>
      </c>
      <c r="E23" s="6"/>
      <c r="F23" s="59"/>
      <c r="G23" s="34"/>
      <c r="H23" s="100"/>
    </row>
    <row r="24" spans="3:12" ht="18" customHeight="1">
      <c r="C24" s="9"/>
      <c r="D24" s="6" t="s">
        <v>84</v>
      </c>
      <c r="E24" s="6"/>
      <c r="F24" s="71">
        <v>0.41</v>
      </c>
      <c r="G24" s="22">
        <f>ROUND((F24)*SUM(G10:G18),0)</f>
        <v>0</v>
      </c>
      <c r="H24" s="100"/>
    </row>
    <row r="25" spans="3:12" ht="18" customHeight="1">
      <c r="C25" s="9"/>
      <c r="D25" s="6" t="s">
        <v>85</v>
      </c>
      <c r="E25" s="6"/>
      <c r="F25" s="69">
        <v>7.6499999999999999E-2</v>
      </c>
      <c r="G25" s="22">
        <f>ROUND(G21*F25,0)</f>
        <v>0</v>
      </c>
      <c r="H25" s="100"/>
    </row>
    <row r="26" spans="3:12" ht="18" customHeight="1">
      <c r="C26" s="9"/>
      <c r="D26" s="6" t="s">
        <v>103</v>
      </c>
      <c r="E26" s="6"/>
      <c r="F26" s="69"/>
      <c r="G26" s="22">
        <f>L30</f>
        <v>0</v>
      </c>
      <c r="H26" s="100"/>
      <c r="J26" s="84" t="s">
        <v>99</v>
      </c>
      <c r="K26" s="90" t="s">
        <v>108</v>
      </c>
      <c r="L26" s="86"/>
    </row>
    <row r="27" spans="3:12" ht="18" customHeight="1">
      <c r="C27" s="9" t="s">
        <v>7</v>
      </c>
      <c r="D27" s="6" t="s">
        <v>79</v>
      </c>
      <c r="E27" s="6"/>
      <c r="F27" s="69"/>
      <c r="G27" s="22">
        <f>ROUND(SUM(G24:G26),0)</f>
        <v>0</v>
      </c>
      <c r="H27" s="100"/>
      <c r="J27" s="87" t="s">
        <v>100</v>
      </c>
      <c r="K27" s="88"/>
      <c r="L27" s="89">
        <f>(K27/12)*2162</f>
        <v>0</v>
      </c>
    </row>
    <row r="28" spans="3:12" ht="18" customHeight="1">
      <c r="C28" s="9" t="s">
        <v>8</v>
      </c>
      <c r="D28" s="5" t="s">
        <v>38</v>
      </c>
      <c r="E28" s="6"/>
      <c r="F28" s="11"/>
      <c r="G28" s="23">
        <f>ROUND(SUM(G22+G27),0)</f>
        <v>0</v>
      </c>
      <c r="H28" s="100"/>
      <c r="J28" s="87" t="s">
        <v>101</v>
      </c>
      <c r="K28" s="88"/>
      <c r="L28" s="89">
        <f>(K28/9)*1730</f>
        <v>0</v>
      </c>
    </row>
    <row r="29" spans="3:12" ht="18" customHeight="1">
      <c r="C29" s="8" t="s">
        <v>9</v>
      </c>
      <c r="D29" s="5" t="s">
        <v>28</v>
      </c>
      <c r="E29" s="6"/>
      <c r="F29" s="13"/>
      <c r="G29" s="22"/>
      <c r="H29" s="100"/>
      <c r="J29" s="87" t="s">
        <v>102</v>
      </c>
      <c r="K29" s="88"/>
      <c r="L29" s="89">
        <f>(K29/3)*432</f>
        <v>0</v>
      </c>
    </row>
    <row r="30" spans="3:12" ht="18" customHeight="1">
      <c r="C30" s="14" t="s">
        <v>10</v>
      </c>
      <c r="D30" s="15" t="s">
        <v>19</v>
      </c>
      <c r="E30" s="2"/>
      <c r="F30" s="11"/>
      <c r="G30" s="22"/>
      <c r="H30" s="100"/>
      <c r="J30" s="86"/>
      <c r="K30" s="86"/>
      <c r="L30" s="89">
        <f>SUM(L27:L29)</f>
        <v>0</v>
      </c>
    </row>
    <row r="31" spans="3:12" ht="18" customHeight="1">
      <c r="C31" s="9" t="s">
        <v>11</v>
      </c>
      <c r="D31" s="16" t="s">
        <v>34</v>
      </c>
      <c r="E31" s="6"/>
      <c r="F31" s="11"/>
      <c r="G31" s="22"/>
      <c r="H31" s="100"/>
    </row>
    <row r="32" spans="3:12" ht="18" customHeight="1">
      <c r="C32" s="9" t="s">
        <v>12</v>
      </c>
      <c r="D32" s="16" t="s">
        <v>35</v>
      </c>
      <c r="E32" s="6"/>
      <c r="F32" s="11"/>
      <c r="G32" s="35"/>
      <c r="H32" s="100"/>
      <c r="L32" s="45" t="s">
        <v>61</v>
      </c>
    </row>
    <row r="33" spans="1:15" ht="18" customHeight="1">
      <c r="C33" s="26"/>
      <c r="D33" s="16" t="s">
        <v>39</v>
      </c>
      <c r="E33" s="6"/>
      <c r="F33" s="11"/>
      <c r="G33" s="23">
        <f>SUM(K35:K38)</f>
        <v>0</v>
      </c>
      <c r="H33" s="100"/>
      <c r="J33" s="46" t="s">
        <v>55</v>
      </c>
      <c r="L33" s="45" t="s">
        <v>62</v>
      </c>
    </row>
    <row r="34" spans="1:15" ht="18" customHeight="1">
      <c r="C34" s="9"/>
      <c r="D34" s="16" t="s">
        <v>40</v>
      </c>
      <c r="E34" s="6"/>
      <c r="F34" s="11"/>
      <c r="G34" s="22"/>
      <c r="H34" s="100"/>
      <c r="J34" s="46" t="s">
        <v>56</v>
      </c>
      <c r="K34" s="44" t="s">
        <v>54</v>
      </c>
      <c r="L34" s="45" t="s">
        <v>63</v>
      </c>
    </row>
    <row r="35" spans="1:15" ht="18" customHeight="1">
      <c r="C35" s="9"/>
      <c r="D35" s="16" t="s">
        <v>77</v>
      </c>
      <c r="E35" s="6"/>
      <c r="F35" s="11"/>
      <c r="G35" s="22"/>
      <c r="H35" s="100"/>
      <c r="J35" s="38" t="s">
        <v>50</v>
      </c>
      <c r="K35" s="41"/>
      <c r="L35" s="47">
        <f>IF(K35&gt;=25000,"25,000",K35)</f>
        <v>0</v>
      </c>
    </row>
    <row r="36" spans="1:15" ht="18" customHeight="1">
      <c r="C36" s="9" t="s">
        <v>13</v>
      </c>
      <c r="D36" s="16" t="s">
        <v>36</v>
      </c>
      <c r="E36" s="6"/>
      <c r="F36" s="11"/>
      <c r="G36" s="22"/>
      <c r="H36" s="100"/>
      <c r="J36" s="39" t="s">
        <v>51</v>
      </c>
      <c r="K36" s="42"/>
      <c r="L36" s="47">
        <f>IF(K36&gt;=25000,"25,000",K36)</f>
        <v>0</v>
      </c>
    </row>
    <row r="37" spans="1:15" ht="18" customHeight="1">
      <c r="C37" s="9" t="s">
        <v>14</v>
      </c>
      <c r="D37" s="6" t="s">
        <v>18</v>
      </c>
      <c r="E37" s="6"/>
      <c r="F37" s="11"/>
      <c r="G37" s="22"/>
      <c r="H37" s="100"/>
      <c r="J37" s="39" t="s">
        <v>52</v>
      </c>
      <c r="K37" s="42"/>
      <c r="L37" s="47">
        <f>IF(K37&gt;=25000,"25,000",K37)</f>
        <v>0</v>
      </c>
      <c r="O37" s="54"/>
    </row>
    <row r="38" spans="1:15" ht="18" customHeight="1">
      <c r="C38" s="9" t="s">
        <v>15</v>
      </c>
      <c r="D38" s="6" t="s">
        <v>95</v>
      </c>
      <c r="E38" s="6"/>
      <c r="F38" s="11"/>
      <c r="G38" s="22"/>
      <c r="H38" s="100"/>
      <c r="J38" s="40" t="s">
        <v>53</v>
      </c>
      <c r="K38" s="43"/>
      <c r="L38" s="47">
        <f>IF(K38&gt;=25000,"25,000",K38)</f>
        <v>0</v>
      </c>
      <c r="O38" s="54"/>
    </row>
    <row r="39" spans="1:15" ht="18" customHeight="1">
      <c r="C39" s="9" t="s">
        <v>76</v>
      </c>
      <c r="D39" s="64" t="s">
        <v>89</v>
      </c>
      <c r="E39" s="72"/>
      <c r="F39" s="73">
        <v>0.38</v>
      </c>
      <c r="G39" s="23">
        <f>ROUND((G19*F39),0)</f>
        <v>0</v>
      </c>
      <c r="H39" s="100"/>
      <c r="O39" s="54"/>
    </row>
    <row r="40" spans="1:15" ht="18" customHeight="1">
      <c r="C40" s="12" t="s">
        <v>80</v>
      </c>
      <c r="D40" s="2" t="s">
        <v>29</v>
      </c>
      <c r="E40" s="2"/>
      <c r="F40" s="17"/>
      <c r="G40" s="22">
        <f>SUM(G28:G39)</f>
        <v>0</v>
      </c>
      <c r="H40" s="100"/>
      <c r="O40" s="54"/>
    </row>
    <row r="41" spans="1:15" ht="18" customHeight="1">
      <c r="C41" s="9" t="s">
        <v>81</v>
      </c>
      <c r="D41" s="6" t="s">
        <v>41</v>
      </c>
      <c r="E41" s="6"/>
      <c r="F41" s="2"/>
      <c r="G41" s="35"/>
      <c r="H41" s="99"/>
      <c r="O41" s="54"/>
    </row>
    <row r="42" spans="1:15" ht="18" customHeight="1">
      <c r="C42" s="37" t="s">
        <v>42</v>
      </c>
      <c r="D42" s="27">
        <f>IF(J16="Research On-Campus",0.5,IF(J16="Research State On-Campus",0.26,IF(J16="Public Service On-Campus",0.35,IF(J16="Public Service State On-Campus",0.26,IF(J16="Instruction On-Campus",0.49,IF(J16="Instruction State On-Campus",0.26,IF(J16="Off-Campus State",0.26,IF(J16="Other",J17))))))))</f>
        <v>0.5</v>
      </c>
      <c r="E42" s="28" t="s">
        <v>43</v>
      </c>
      <c r="F42" s="29">
        <f>IF($L$35&gt;25000,"25000",$L$35)+IF($L$36&gt;25000,"25000",$L$36)+IF($L$37&gt;25000,"25000",$L$37)+IF($L$38&gt;25000,"25000",$L$38)+$G$40-$G$33-$G$37-$G$39-$G$38</f>
        <v>0</v>
      </c>
      <c r="G42" s="22">
        <f>((ROUND((((G10*$F$24)+(G10))*$D$42),0))+(ROUND((((G11*$F$24)+(G11))*$D$42),0))+(ROUND((((G12*$F$24)+(G12))*$D$42),0))+(ROUND((((G13*$F$24)+(G13))*$D$42),0))+(ROUND((((G14*$F$24)+(G14))*$D$42),0))+(ROUND((((G15*$F$24)+(G15))*$D$42),0))+(ROUND((((G17*$F$24)+(G17))*$D$42),0))+(ROUND((((G18*$F$24)+(G18))*$D$42),0))+(ROUND((((G26)+(G19))*$D$42),0))+(ROUND(((G20)*$D$42),0))+(ROUND((((G21*$F$25)+(G21))*$D$42),0))+(ROUND(((G29)*$D$42),0))+(ROUND(((G30)*$D$42),0))+(ROUND(((G31)*$D$42),0))+(ROUND(((IF($L$35&gt;25000,"25000",$L$35)+IF($L$36&gt;25000,"25000",$L$36)+IF($L$37&gt;25000,"25000",$L$37)+IF($L$38&gt;25000,"25000",$L$38))*$D$42),0))+(ROUND(((G34)*$D$42),0))+(ROUND(((G35)*$D$42),0))+(ROUND(((G36)*$D$42),0)))</f>
        <v>0</v>
      </c>
      <c r="O42" s="54"/>
    </row>
    <row r="43" spans="1:15" ht="18" customHeight="1" thickBot="1">
      <c r="B43" s="62"/>
      <c r="C43" s="36" t="s">
        <v>94</v>
      </c>
      <c r="D43" s="18" t="s">
        <v>32</v>
      </c>
      <c r="E43" s="19"/>
      <c r="F43" s="20"/>
      <c r="G43" s="24">
        <f>SUM(G40:G42)</f>
        <v>0</v>
      </c>
      <c r="H43" s="62"/>
      <c r="O43" s="54"/>
    </row>
    <row r="44" spans="1:15" ht="18" customHeight="1">
      <c r="A44" s="63" t="s">
        <v>92</v>
      </c>
      <c r="C44" s="2"/>
      <c r="D44" s="21"/>
      <c r="E44" s="2"/>
      <c r="F44" s="2"/>
      <c r="G44" s="2"/>
      <c r="H44" s="62"/>
      <c r="O44" s="54"/>
    </row>
    <row r="45" spans="1:15" ht="18" customHeight="1">
      <c r="A45" s="63"/>
      <c r="B45" s="63" t="s">
        <v>93</v>
      </c>
      <c r="C45" s="2"/>
      <c r="D45" s="21"/>
      <c r="E45" s="2"/>
      <c r="F45" s="2"/>
      <c r="G45" s="2"/>
      <c r="H45" s="62"/>
      <c r="O45" s="54"/>
    </row>
    <row r="46" spans="1:15" ht="18" customHeight="1">
      <c r="A46" s="63"/>
      <c r="B46" s="63"/>
      <c r="C46" s="2"/>
      <c r="D46" s="21"/>
      <c r="E46" s="2"/>
      <c r="F46" s="2"/>
      <c r="G46" s="2"/>
      <c r="H46" s="62"/>
      <c r="O46" s="54"/>
    </row>
    <row r="47" spans="1:15" ht="18" customHeight="1">
      <c r="A47" s="98" t="s">
        <v>16</v>
      </c>
      <c r="B47" s="98"/>
      <c r="C47" s="98"/>
      <c r="D47" s="98"/>
      <c r="E47" s="98"/>
      <c r="F47" s="98"/>
      <c r="G47" s="98"/>
      <c r="H47" s="98"/>
      <c r="I47" s="68"/>
      <c r="O47" s="54"/>
    </row>
    <row r="48" spans="1:15" ht="18" customHeight="1">
      <c r="A48" s="97" t="s">
        <v>20</v>
      </c>
      <c r="B48" s="97"/>
      <c r="C48" s="97"/>
      <c r="D48" s="97"/>
      <c r="E48" s="97"/>
      <c r="F48" s="97"/>
      <c r="G48" s="97"/>
      <c r="H48" s="97"/>
      <c r="I48" s="78"/>
      <c r="O48" s="54"/>
    </row>
    <row r="49" spans="1:15" ht="18" customHeight="1">
      <c r="A49" s="97" t="s">
        <v>44</v>
      </c>
      <c r="B49" s="97"/>
      <c r="C49" s="97"/>
      <c r="D49" s="97"/>
      <c r="E49" s="97"/>
      <c r="F49" s="97"/>
      <c r="G49" s="97"/>
      <c r="H49" s="97"/>
      <c r="I49" s="78"/>
      <c r="O49" s="54"/>
    </row>
    <row r="50" spans="1:15" ht="18" customHeight="1">
      <c r="A50" s="4" t="s">
        <v>22</v>
      </c>
      <c r="B50" s="2"/>
      <c r="C50" s="78"/>
      <c r="D50" s="96" t="str">
        <f>IF($J$2&gt;1,D4,"")</f>
        <v/>
      </c>
      <c r="E50" s="96"/>
      <c r="F50" s="96"/>
      <c r="G50" s="96"/>
      <c r="H50" s="96"/>
      <c r="I50" s="79"/>
      <c r="O50" s="54"/>
    </row>
    <row r="51" spans="1:15" ht="18" customHeight="1">
      <c r="A51" s="50" t="s">
        <v>21</v>
      </c>
      <c r="D51" s="64" t="str">
        <f>IF($J$2&gt;1,D5,"")</f>
        <v/>
      </c>
      <c r="E51" s="80"/>
      <c r="F51" s="80"/>
      <c r="G51" s="80"/>
      <c r="H51" s="80"/>
      <c r="I51" s="21"/>
      <c r="O51" s="54"/>
    </row>
    <row r="52" spans="1:15" ht="18" customHeight="1">
      <c r="C52" s="4"/>
      <c r="E52" s="21"/>
      <c r="F52" s="21"/>
      <c r="G52" s="21"/>
      <c r="O52" s="54"/>
    </row>
    <row r="53" spans="1:15" ht="18" customHeight="1" thickBot="1">
      <c r="O53" s="54"/>
    </row>
    <row r="54" spans="1:15" ht="18" customHeight="1" thickBot="1">
      <c r="C54" s="2"/>
      <c r="D54" s="2"/>
      <c r="E54" s="2"/>
      <c r="F54" s="2"/>
      <c r="G54" s="66" t="s">
        <v>23</v>
      </c>
      <c r="J54" s="48"/>
      <c r="O54" s="54"/>
    </row>
    <row r="55" spans="1:15" ht="18" customHeight="1">
      <c r="C55" s="60" t="s">
        <v>0</v>
      </c>
      <c r="D55" s="67" t="s">
        <v>74</v>
      </c>
      <c r="E55" s="61"/>
      <c r="F55" s="61"/>
      <c r="G55" s="58"/>
      <c r="J55" s="57"/>
      <c r="O55" s="54"/>
    </row>
    <row r="56" spans="1:15" ht="18" customHeight="1">
      <c r="C56" s="9"/>
      <c r="D56" s="10" t="s">
        <v>1</v>
      </c>
      <c r="E56" s="6" t="str">
        <f>IF(E10=""," ",E10)</f>
        <v xml:space="preserve"> </v>
      </c>
      <c r="F56" s="11"/>
      <c r="G56" s="22" t="str">
        <f>IF($J$2&gt;1,(SUM(G10+(G10*$J$9))),"")</f>
        <v/>
      </c>
      <c r="H56" s="101"/>
      <c r="J56" s="48"/>
      <c r="O56" s="54"/>
    </row>
    <row r="57" spans="1:15" ht="18" customHeight="1">
      <c r="C57" s="9"/>
      <c r="D57" s="10" t="s">
        <v>2</v>
      </c>
      <c r="E57" s="6" t="str">
        <f>IF(E11=""," ",E11)</f>
        <v xml:space="preserve"> </v>
      </c>
      <c r="F57" s="11"/>
      <c r="G57" s="22" t="str">
        <f>IF($J$2&gt;1,(SUM(G11+(G11*$J$9))),"")</f>
        <v/>
      </c>
      <c r="H57" s="101"/>
      <c r="J57" s="74"/>
      <c r="O57" s="54"/>
    </row>
    <row r="58" spans="1:15" ht="18" customHeight="1">
      <c r="C58" s="9"/>
      <c r="D58" s="10" t="s">
        <v>3</v>
      </c>
      <c r="E58" s="6" t="str">
        <f>IF(E12=""," ",E12)</f>
        <v xml:space="preserve"> </v>
      </c>
      <c r="F58" s="11"/>
      <c r="G58" s="22" t="str">
        <f>IF($J$2&gt;1,(SUM(G12+(G12*$J$9)))," ")</f>
        <v xml:space="preserve"> </v>
      </c>
      <c r="H58" s="101"/>
      <c r="O58" s="54"/>
    </row>
    <row r="59" spans="1:15" ht="18" customHeight="1">
      <c r="C59" s="9"/>
      <c r="D59" s="10" t="s">
        <v>4</v>
      </c>
      <c r="E59" s="6" t="str">
        <f>IF(E13=""," ",E13)</f>
        <v xml:space="preserve"> </v>
      </c>
      <c r="F59" s="11"/>
      <c r="G59" s="22" t="str">
        <f>IF($J$2&gt;1,(SUM(G13+(G13*$J$9)))," ")</f>
        <v xml:space="preserve"> </v>
      </c>
      <c r="H59" s="101"/>
      <c r="O59" s="54"/>
    </row>
    <row r="60" spans="1:15" ht="18" customHeight="1">
      <c r="C60" s="9"/>
      <c r="D60" s="10" t="s">
        <v>24</v>
      </c>
      <c r="E60" s="6" t="str">
        <f>IF(E14=""," ",E14)</f>
        <v xml:space="preserve"> </v>
      </c>
      <c r="F60" s="11"/>
      <c r="G60" s="22" t="str">
        <f>IF($J$2&gt;1,(SUM(G14+(G14*$J$9))),"")</f>
        <v/>
      </c>
      <c r="H60" s="101"/>
      <c r="O60" s="54"/>
    </row>
    <row r="61" spans="1:15" ht="18" customHeight="1">
      <c r="C61" s="9"/>
      <c r="D61" s="10" t="s">
        <v>25</v>
      </c>
      <c r="E61" s="6" t="s">
        <v>48</v>
      </c>
      <c r="F61" s="11"/>
      <c r="G61" s="22" t="str">
        <f>IF($J$2&gt;1,(SUM(G15+(G15*$J$9))),"")</f>
        <v/>
      </c>
      <c r="H61" s="101"/>
      <c r="O61" s="54"/>
    </row>
    <row r="62" spans="1:15" ht="18" customHeight="1">
      <c r="C62" s="9" t="s">
        <v>33</v>
      </c>
      <c r="D62" s="64" t="s">
        <v>75</v>
      </c>
      <c r="E62" s="6"/>
      <c r="F62" s="11"/>
      <c r="G62" s="34"/>
      <c r="H62" s="101"/>
      <c r="O62" s="54"/>
    </row>
    <row r="63" spans="1:15" ht="18" customHeight="1">
      <c r="C63" s="9"/>
      <c r="D63" s="25" t="s">
        <v>1</v>
      </c>
      <c r="E63" s="6" t="s">
        <v>30</v>
      </c>
      <c r="F63" s="11"/>
      <c r="G63" s="22" t="str">
        <f>IF($J$2&gt;1,(SUM(G17+(G17*$J$9))),"")</f>
        <v/>
      </c>
      <c r="H63" s="101"/>
      <c r="O63" s="54"/>
    </row>
    <row r="64" spans="1:15" ht="18" customHeight="1">
      <c r="C64" s="9"/>
      <c r="D64" s="10" t="s">
        <v>2</v>
      </c>
      <c r="E64" s="6" t="s">
        <v>31</v>
      </c>
      <c r="F64" s="11"/>
      <c r="G64" s="22" t="str">
        <f>IF($J$2&gt;1,(SUM(G18+(G18*$J$9))),"")</f>
        <v/>
      </c>
      <c r="H64" s="101"/>
      <c r="O64" s="54"/>
    </row>
    <row r="65" spans="3:15" ht="18" customHeight="1">
      <c r="C65" s="9"/>
      <c r="D65" s="10" t="s">
        <v>3</v>
      </c>
      <c r="E65" s="6" t="s">
        <v>26</v>
      </c>
      <c r="F65" s="5"/>
      <c r="G65" s="22" t="str">
        <f>IF($J$2&gt;1,(SUM(G19+(G19*$J$9))),"")</f>
        <v/>
      </c>
      <c r="H65" s="101"/>
      <c r="O65" s="54"/>
    </row>
    <row r="66" spans="3:15" ht="18" customHeight="1">
      <c r="C66" s="9"/>
      <c r="D66" s="10" t="s">
        <v>4</v>
      </c>
      <c r="E66" s="6" t="s">
        <v>27</v>
      </c>
      <c r="F66" s="11"/>
      <c r="G66" s="22" t="str">
        <f>IF($J$2&gt;1,(SUM(G20+(G20*$J$9))),"")</f>
        <v/>
      </c>
      <c r="H66" s="101"/>
      <c r="O66" s="54"/>
    </row>
    <row r="67" spans="3:15" ht="18" customHeight="1">
      <c r="C67" s="8"/>
      <c r="D67" s="65" t="s">
        <v>24</v>
      </c>
      <c r="E67" s="5" t="s">
        <v>82</v>
      </c>
      <c r="F67" s="5"/>
      <c r="G67" s="22" t="str">
        <f>IF($J$2&gt;1,(SUM(G21+(G21*$J$9))),"")</f>
        <v/>
      </c>
      <c r="H67" s="101"/>
      <c r="O67" s="54"/>
    </row>
    <row r="68" spans="3:15" ht="18" customHeight="1">
      <c r="C68" s="9" t="s">
        <v>5</v>
      </c>
      <c r="D68" s="6" t="s">
        <v>37</v>
      </c>
      <c r="E68" s="6"/>
      <c r="F68" s="5"/>
      <c r="G68" s="22" t="str">
        <f>IF($J$2&gt;1,SUM(G56:G67),"")</f>
        <v/>
      </c>
      <c r="H68" s="101"/>
      <c r="O68" s="54"/>
    </row>
    <row r="69" spans="3:15" ht="18" customHeight="1">
      <c r="C69" s="9" t="s">
        <v>6</v>
      </c>
      <c r="D69" s="6" t="s">
        <v>78</v>
      </c>
      <c r="E69" s="6"/>
      <c r="F69" s="59"/>
      <c r="G69" s="34"/>
      <c r="H69" s="101"/>
      <c r="J69" s="84" t="s">
        <v>99</v>
      </c>
      <c r="K69" s="85" t="s">
        <v>108</v>
      </c>
      <c r="L69" s="86"/>
      <c r="O69" s="54"/>
    </row>
    <row r="70" spans="3:15" ht="18" customHeight="1">
      <c r="C70" s="9"/>
      <c r="D70" s="6" t="s">
        <v>84</v>
      </c>
      <c r="E70" s="6"/>
      <c r="F70" s="71">
        <v>0.41</v>
      </c>
      <c r="G70" s="22" t="str">
        <f>IF($J$2&gt;1,ROUND((F70)*SUM(G56:G64),0),"")</f>
        <v/>
      </c>
      <c r="H70" s="101"/>
      <c r="J70" s="87" t="s">
        <v>100</v>
      </c>
      <c r="K70" s="88" t="str">
        <f>IF($J$2&gt;1,K27,"")</f>
        <v/>
      </c>
      <c r="L70" s="89" t="str">
        <f>IF($J$2&gt;1,(K70/12)*2162,"")</f>
        <v/>
      </c>
      <c r="O70" s="54"/>
    </row>
    <row r="71" spans="3:15" ht="18" customHeight="1">
      <c r="C71" s="9"/>
      <c r="D71" s="6" t="s">
        <v>85</v>
      </c>
      <c r="E71" s="6"/>
      <c r="F71" s="69">
        <v>7.6499999999999999E-2</v>
      </c>
      <c r="G71" s="22" t="str">
        <f>IF($J$2&gt;1,ROUND(G67*F71,0),"")</f>
        <v/>
      </c>
      <c r="H71" s="101"/>
      <c r="J71" s="87" t="s">
        <v>101</v>
      </c>
      <c r="K71" s="88" t="str">
        <f>IF($J$2&gt;1,K28,"")</f>
        <v/>
      </c>
      <c r="L71" s="89" t="str">
        <f>IF($J$2&gt;1,(K71/9)*1730,"")</f>
        <v/>
      </c>
      <c r="O71" s="54"/>
    </row>
    <row r="72" spans="3:15" ht="18" customHeight="1">
      <c r="C72" s="9"/>
      <c r="D72" s="6" t="s">
        <v>103</v>
      </c>
      <c r="E72" s="6"/>
      <c r="F72" s="69"/>
      <c r="G72" s="22" t="str">
        <f>IF($J$2&gt;1,L73,"")</f>
        <v/>
      </c>
      <c r="H72" s="101"/>
      <c r="J72" s="87" t="s">
        <v>102</v>
      </c>
      <c r="K72" s="88" t="str">
        <f>IF($J$2&gt;1,K29,"")</f>
        <v/>
      </c>
      <c r="L72" s="89" t="str">
        <f>IF($J$2&gt;1,(K72/3)*432,"")</f>
        <v/>
      </c>
      <c r="O72" s="54"/>
    </row>
    <row r="73" spans="3:15" ht="18" customHeight="1">
      <c r="C73" s="9" t="s">
        <v>7</v>
      </c>
      <c r="D73" s="6" t="s">
        <v>79</v>
      </c>
      <c r="E73" s="6"/>
      <c r="F73" s="69"/>
      <c r="G73" s="22" t="str">
        <f>IF($J$2&gt;1,ROUND(SUM(G70:G72),0),"")</f>
        <v/>
      </c>
      <c r="H73" s="101"/>
      <c r="J73" s="86"/>
      <c r="K73" s="86"/>
      <c r="L73" s="89" t="str">
        <f>IF($J$2&gt;1,SUM(L70:L72),"")</f>
        <v/>
      </c>
      <c r="O73" s="54"/>
    </row>
    <row r="74" spans="3:15" ht="18" customHeight="1">
      <c r="C74" s="9" t="s">
        <v>8</v>
      </c>
      <c r="D74" s="5" t="s">
        <v>38</v>
      </c>
      <c r="E74" s="6"/>
      <c r="F74" s="11"/>
      <c r="G74" s="23" t="str">
        <f>IF($J$2&gt;1,ROUND(SUM(G68+G73),0),"")</f>
        <v/>
      </c>
      <c r="H74" s="101"/>
      <c r="O74" s="54"/>
    </row>
    <row r="75" spans="3:15" ht="18" customHeight="1">
      <c r="C75" s="8" t="s">
        <v>9</v>
      </c>
      <c r="D75" s="5" t="s">
        <v>28</v>
      </c>
      <c r="E75" s="6"/>
      <c r="F75" s="13"/>
      <c r="G75" s="22" t="str">
        <f>IF($J$2&gt;1,ROUND(SUM(G29+(G29*$J$12)),0),"")</f>
        <v/>
      </c>
      <c r="H75" s="101"/>
      <c r="O75" s="54"/>
    </row>
    <row r="76" spans="3:15" ht="18" customHeight="1">
      <c r="C76" s="14" t="s">
        <v>10</v>
      </c>
      <c r="D76" s="15" t="s">
        <v>19</v>
      </c>
      <c r="E76" s="2"/>
      <c r="F76" s="11"/>
      <c r="G76" s="22" t="str">
        <f>IF($J$2&gt;1,ROUND(SUM(G30+(G30*$J$12)),0),"")</f>
        <v/>
      </c>
      <c r="H76" s="101"/>
      <c r="L76" s="45" t="s">
        <v>61</v>
      </c>
      <c r="O76" s="54"/>
    </row>
    <row r="77" spans="3:15" ht="18" customHeight="1">
      <c r="C77" s="9" t="s">
        <v>11</v>
      </c>
      <c r="D77" s="16" t="s">
        <v>34</v>
      </c>
      <c r="E77" s="6"/>
      <c r="F77" s="11"/>
      <c r="G77" s="22" t="str">
        <f>IF($J$2&gt;1,ROUND(SUM(G31+(G31*$J$12)),0),"")</f>
        <v/>
      </c>
      <c r="H77" s="101"/>
      <c r="J77" s="46" t="s">
        <v>55</v>
      </c>
      <c r="L77" s="45" t="s">
        <v>62</v>
      </c>
      <c r="O77" s="54"/>
    </row>
    <row r="78" spans="3:15" ht="18" customHeight="1">
      <c r="C78" s="9" t="s">
        <v>12</v>
      </c>
      <c r="D78" s="16" t="s">
        <v>35</v>
      </c>
      <c r="E78" s="6"/>
      <c r="F78" s="11"/>
      <c r="G78" s="30"/>
      <c r="H78" s="101"/>
      <c r="J78" s="46" t="s">
        <v>56</v>
      </c>
      <c r="K78" s="44" t="s">
        <v>57</v>
      </c>
      <c r="L78" s="45" t="s">
        <v>63</v>
      </c>
      <c r="O78" s="54"/>
    </row>
    <row r="79" spans="3:15" ht="18" customHeight="1">
      <c r="C79" s="26"/>
      <c r="D79" s="16" t="s">
        <v>39</v>
      </c>
      <c r="E79" s="6"/>
      <c r="F79" s="11"/>
      <c r="G79" s="23" t="str">
        <f>IF($J$2&gt;1,SUM(K79:K82),"")</f>
        <v/>
      </c>
      <c r="H79" s="101"/>
      <c r="J79" s="38" t="s">
        <v>50</v>
      </c>
      <c r="K79" s="41"/>
      <c r="L79" s="47">
        <f>IF(K79+L35&gt;=25000,25000-L35,K79)</f>
        <v>0</v>
      </c>
      <c r="O79" s="54"/>
    </row>
    <row r="80" spans="3:15" ht="18" customHeight="1">
      <c r="C80" s="9"/>
      <c r="D80" s="16" t="s">
        <v>40</v>
      </c>
      <c r="E80" s="6"/>
      <c r="F80" s="11"/>
      <c r="G80" s="22" t="str">
        <f>IF($J$2&gt;1,ROUND(SUM(G34+(G34*$J$12)),0),"")</f>
        <v/>
      </c>
      <c r="H80" s="101"/>
      <c r="J80" s="39" t="s">
        <v>51</v>
      </c>
      <c r="K80" s="42"/>
      <c r="L80" s="47">
        <f>IF(K80+L36&gt;=25000,25000-L36,K80)</f>
        <v>0</v>
      </c>
      <c r="O80" s="54"/>
    </row>
    <row r="81" spans="1:15" ht="18" customHeight="1">
      <c r="C81" s="9"/>
      <c r="D81" s="16" t="s">
        <v>77</v>
      </c>
      <c r="E81" s="6"/>
      <c r="F81" s="11"/>
      <c r="G81" s="22" t="str">
        <f>IF($J$2&gt;1,ROUND(SUM(G35+(G35*$J$12)),0),"")</f>
        <v/>
      </c>
      <c r="H81" s="101"/>
      <c r="J81" s="39" t="s">
        <v>52</v>
      </c>
      <c r="K81" s="42"/>
      <c r="L81" s="47">
        <f>IF(K81+L37&gt;=25000,25000-L37,K81)</f>
        <v>0</v>
      </c>
      <c r="O81" s="54"/>
    </row>
    <row r="82" spans="1:15" ht="18" customHeight="1">
      <c r="C82" s="9" t="s">
        <v>13</v>
      </c>
      <c r="D82" s="16" t="s">
        <v>36</v>
      </c>
      <c r="E82" s="6"/>
      <c r="F82" s="11"/>
      <c r="G82" s="22" t="str">
        <f>IF($J$2&gt;1,ROUND(SUM(G36+(G36*$J$12)),0),"")</f>
        <v/>
      </c>
      <c r="H82" s="101"/>
      <c r="J82" s="40" t="s">
        <v>53</v>
      </c>
      <c r="K82" s="43"/>
      <c r="L82" s="47">
        <f>IF(K82+L38&gt;=25000,25000-L38,K82)</f>
        <v>0</v>
      </c>
      <c r="O82" s="54"/>
    </row>
    <row r="83" spans="1:15" ht="18" customHeight="1">
      <c r="C83" s="9" t="s">
        <v>14</v>
      </c>
      <c r="D83" s="6" t="s">
        <v>18</v>
      </c>
      <c r="E83" s="6"/>
      <c r="F83" s="11"/>
      <c r="G83" s="23"/>
      <c r="H83" s="101"/>
      <c r="O83" s="54"/>
    </row>
    <row r="84" spans="1:15" ht="18" customHeight="1">
      <c r="C84" s="9" t="s">
        <v>15</v>
      </c>
      <c r="D84" s="6" t="s">
        <v>95</v>
      </c>
      <c r="E84" s="6"/>
      <c r="F84" s="11"/>
      <c r="G84" s="22" t="str">
        <f>IF($J$2&gt;1,ROUND(SUM(G38+(G38*$J$12)),0),"")</f>
        <v/>
      </c>
      <c r="H84" s="101"/>
      <c r="O84" s="54"/>
    </row>
    <row r="85" spans="1:15" ht="18" customHeight="1">
      <c r="C85" s="9" t="s">
        <v>76</v>
      </c>
      <c r="D85" s="64" t="s">
        <v>89</v>
      </c>
      <c r="E85" s="72"/>
      <c r="F85" s="73">
        <v>0.38</v>
      </c>
      <c r="G85" s="23" t="str">
        <f>IF($J$2&gt;1,ROUND(G65*F85,0),"")</f>
        <v/>
      </c>
      <c r="H85" s="101"/>
      <c r="O85" s="54"/>
    </row>
    <row r="86" spans="1:15" ht="18" customHeight="1">
      <c r="B86" s="62"/>
      <c r="C86" s="12" t="s">
        <v>80</v>
      </c>
      <c r="D86" s="2" t="s">
        <v>29</v>
      </c>
      <c r="E86" s="2"/>
      <c r="F86" s="17"/>
      <c r="G86" s="22" t="str">
        <f>IF($J$2&gt;1,ROUND(SUM(G74:G85),0),"")</f>
        <v/>
      </c>
      <c r="H86" s="101"/>
      <c r="O86" s="54"/>
    </row>
    <row r="87" spans="1:15" ht="18" customHeight="1">
      <c r="B87" s="31"/>
      <c r="C87" s="9" t="s">
        <v>81</v>
      </c>
      <c r="D87" s="6" t="s">
        <v>41</v>
      </c>
      <c r="E87" s="6"/>
      <c r="F87" s="2"/>
      <c r="G87" s="35"/>
      <c r="H87" s="62"/>
      <c r="O87" s="54"/>
    </row>
    <row r="88" spans="1:15" ht="18" customHeight="1">
      <c r="B88" s="62"/>
      <c r="C88" s="37" t="s">
        <v>42</v>
      </c>
      <c r="D88" s="27">
        <f>D42</f>
        <v>0.5</v>
      </c>
      <c r="E88" s="28" t="s">
        <v>43</v>
      </c>
      <c r="F88" s="29" t="str">
        <f>IF($J$2&gt;1,(IF($L$79&gt;25000,"25000",$L$79)+IF($L$80&gt;25000,"25000",$L$80)+IF($L$81&gt;25000,"25000",$L$81)+IF($L$82&gt;25000,"25000",$L$82)+$G$86-$G$79-$G$83-$G$85-$G$84),"")</f>
        <v/>
      </c>
      <c r="G88" s="22" t="str">
        <f>IF($J$2&gt;1,((ROUND((((G56*$F$70)+(G56))*$D$88),0))+(ROUND((((G57*$F$70)+(G57))*$D$88),0))+(ROUND((((G58*$F$70)+(G58))*$D$88),0))+(ROUND((((G59*$F$70)+(G59))*$D$88),0))+(ROUND((((G60*$F$70)+(G60))*$D$88),0))+(ROUND((((G61*$F$70)+(G61))*$D$88),0))+(ROUND((((G63*$F$70)+(G63))*$D$88),0))+(ROUND((((G64*$F$70)+(G64))*$D$88),0))+(ROUND((((G72)+(G65))*$D$88),0))+(ROUND(((G66)*$D$88),0))+(ROUND((((G67*$F$71)+(G67))*$D$88),0))+(ROUND(((G75)*$D$88),0))+(ROUND(((G76)*$D$88),0))+(ROUND(((G77)*$D$88),0))+(ROUND(((IF($L$79&gt;25000,"25000",$L$79)+IF($L$80&gt;25000,"25000",$L$80)+IF($L$81&gt;25000,"25000",$L$81)+IF($L$82&gt;25000,"25000",$L$82))*$D$88),0))+(ROUND(((G80)*$D$88),0))+(ROUND(((G81)*$D$88),0))+(ROUND(((G82)*$D$88),0))),"")</f>
        <v/>
      </c>
      <c r="H88" s="68"/>
      <c r="I88" s="68"/>
      <c r="O88" s="54"/>
    </row>
    <row r="89" spans="1:15" ht="18" customHeight="1" thickBot="1">
      <c r="A89" s="63"/>
      <c r="C89" s="36" t="s">
        <v>94</v>
      </c>
      <c r="D89" s="18" t="s">
        <v>32</v>
      </c>
      <c r="E89" s="19"/>
      <c r="F89" s="20"/>
      <c r="G89" s="24" t="str">
        <f>IF($J$2&gt;1,SUM(G86:G88),"")</f>
        <v/>
      </c>
      <c r="H89" s="68" t="s">
        <v>104</v>
      </c>
      <c r="I89" s="68"/>
      <c r="O89" s="54"/>
    </row>
    <row r="90" spans="1:15" ht="18" customHeight="1">
      <c r="A90" s="63" t="s">
        <v>92</v>
      </c>
      <c r="C90" s="81"/>
      <c r="D90" s="4"/>
      <c r="E90" s="2"/>
      <c r="F90" s="2"/>
      <c r="G90" s="82"/>
      <c r="H90" s="68"/>
      <c r="I90" s="68"/>
      <c r="O90" s="54"/>
    </row>
    <row r="91" spans="1:15" ht="18" customHeight="1">
      <c r="A91" s="63"/>
      <c r="B91" s="63" t="s">
        <v>93</v>
      </c>
      <c r="C91" s="81"/>
      <c r="D91" s="4"/>
      <c r="E91" s="2"/>
      <c r="F91" s="2"/>
      <c r="G91" s="82"/>
      <c r="H91" s="68"/>
      <c r="I91" s="68"/>
      <c r="O91" s="54"/>
    </row>
    <row r="92" spans="1:15" ht="18" customHeight="1">
      <c r="A92" s="63"/>
      <c r="B92" s="63"/>
      <c r="C92" s="81"/>
      <c r="D92" s="4"/>
      <c r="E92" s="2"/>
      <c r="F92" s="2"/>
      <c r="G92" s="82"/>
      <c r="H92" s="68"/>
      <c r="I92" s="68"/>
      <c r="O92" s="54"/>
    </row>
    <row r="93" spans="1:15" ht="18" customHeight="1">
      <c r="A93" s="98" t="s">
        <v>16</v>
      </c>
      <c r="B93" s="98"/>
      <c r="C93" s="98"/>
      <c r="D93" s="98"/>
      <c r="E93" s="98"/>
      <c r="F93" s="98"/>
      <c r="G93" s="98"/>
      <c r="H93" s="98"/>
      <c r="I93" s="68"/>
      <c r="O93" s="54"/>
    </row>
    <row r="94" spans="1:15" ht="18" customHeight="1">
      <c r="A94" s="97" t="s">
        <v>20</v>
      </c>
      <c r="B94" s="97"/>
      <c r="C94" s="97"/>
      <c r="D94" s="97"/>
      <c r="E94" s="97"/>
      <c r="F94" s="97"/>
      <c r="G94" s="97"/>
      <c r="H94" s="97"/>
      <c r="I94" s="76"/>
      <c r="O94" s="54"/>
    </row>
    <row r="95" spans="1:15" ht="18" customHeight="1">
      <c r="A95" s="97" t="s">
        <v>45</v>
      </c>
      <c r="B95" s="97"/>
      <c r="C95" s="97"/>
      <c r="D95" s="97"/>
      <c r="E95" s="97"/>
      <c r="F95" s="97"/>
      <c r="G95" s="97"/>
      <c r="H95" s="97"/>
      <c r="I95" s="76"/>
      <c r="O95" s="54"/>
    </row>
    <row r="96" spans="1:15" ht="18" customHeight="1">
      <c r="A96" s="4" t="s">
        <v>22</v>
      </c>
      <c r="D96" s="96" t="str">
        <f>IF($J$2&gt;2,D50,"")</f>
        <v/>
      </c>
      <c r="E96" s="96"/>
      <c r="F96" s="96"/>
      <c r="G96" s="96"/>
      <c r="H96" s="96"/>
      <c r="I96" s="79"/>
      <c r="O96" s="54"/>
    </row>
    <row r="97" spans="1:15" ht="18" customHeight="1">
      <c r="A97" s="50" t="s">
        <v>21</v>
      </c>
      <c r="C97" s="76"/>
      <c r="D97" s="96" t="str">
        <f>IF($J$2&gt;2,D51,"")</f>
        <v/>
      </c>
      <c r="E97" s="96"/>
      <c r="F97" s="96"/>
      <c r="G97" s="96"/>
      <c r="H97" s="96"/>
      <c r="I97" s="21"/>
      <c r="O97" s="54"/>
    </row>
    <row r="98" spans="1:15" ht="18" customHeight="1">
      <c r="D98" s="79"/>
      <c r="E98" s="79"/>
      <c r="F98" s="79"/>
      <c r="G98" s="79"/>
      <c r="O98" s="54"/>
    </row>
    <row r="99" spans="1:15" ht="18" customHeight="1" thickBot="1">
      <c r="J99" s="48"/>
      <c r="O99" s="54"/>
    </row>
    <row r="100" spans="1:15" ht="18" customHeight="1" thickBot="1">
      <c r="C100" s="2"/>
      <c r="D100" s="2"/>
      <c r="E100" s="2"/>
      <c r="F100" s="2"/>
      <c r="G100" s="66" t="s">
        <v>23</v>
      </c>
      <c r="J100" s="57"/>
      <c r="O100" s="54"/>
    </row>
    <row r="101" spans="1:15" ht="18" customHeight="1">
      <c r="C101" s="60" t="s">
        <v>0</v>
      </c>
      <c r="D101" s="67" t="s">
        <v>74</v>
      </c>
      <c r="E101" s="61"/>
      <c r="F101" s="61"/>
      <c r="G101" s="58"/>
      <c r="J101" s="48"/>
      <c r="O101" s="54"/>
    </row>
    <row r="102" spans="1:15" ht="18" customHeight="1">
      <c r="C102" s="9"/>
      <c r="D102" s="10" t="s">
        <v>1</v>
      </c>
      <c r="E102" s="6" t="str">
        <f>IF(E10=""," ",E10)</f>
        <v xml:space="preserve"> </v>
      </c>
      <c r="F102" s="11"/>
      <c r="G102" s="22" t="str">
        <f>IF($J$2&gt;2,ROUND(SUM(G56+(G56*$J$9)),0),"")</f>
        <v/>
      </c>
      <c r="H102" s="101"/>
      <c r="J102" s="74"/>
      <c r="O102" s="54"/>
    </row>
    <row r="103" spans="1:15" ht="18" customHeight="1">
      <c r="C103" s="9"/>
      <c r="D103" s="10" t="s">
        <v>2</v>
      </c>
      <c r="E103" s="6" t="str">
        <f>IF(E11=""," ",E11)</f>
        <v xml:space="preserve"> </v>
      </c>
      <c r="F103" s="11"/>
      <c r="G103" s="22" t="str">
        <f>IF($J$2&gt;2,ROUND(SUM(G57+(G57*$J$9)),0),"")</f>
        <v/>
      </c>
      <c r="H103" s="101"/>
      <c r="O103" s="54"/>
    </row>
    <row r="104" spans="1:15" ht="18" customHeight="1">
      <c r="C104" s="9"/>
      <c r="D104" s="10" t="s">
        <v>3</v>
      </c>
      <c r="E104" s="6" t="str">
        <f>IF(E12=""," ",E12)</f>
        <v xml:space="preserve"> </v>
      </c>
      <c r="F104" s="11"/>
      <c r="G104" s="22" t="str">
        <f>IF($J$2&gt;2,ROUND(SUM(G58+(G58*$J$9)),0),"")</f>
        <v/>
      </c>
      <c r="H104" s="101"/>
      <c r="O104" s="54"/>
    </row>
    <row r="105" spans="1:15" ht="18" customHeight="1">
      <c r="C105" s="9"/>
      <c r="D105" s="10" t="s">
        <v>4</v>
      </c>
      <c r="E105" s="6" t="str">
        <f>IF(E13=""," ",E13)</f>
        <v xml:space="preserve"> </v>
      </c>
      <c r="F105" s="11"/>
      <c r="G105" s="22" t="str">
        <f>IF($J$2&gt;2,ROUND(SUM(G59+(G59*$J$9)),0),"")</f>
        <v/>
      </c>
      <c r="H105" s="101"/>
      <c r="O105" s="54"/>
    </row>
    <row r="106" spans="1:15" ht="18" customHeight="1">
      <c r="C106" s="9"/>
      <c r="D106" s="10" t="s">
        <v>24</v>
      </c>
      <c r="E106" s="6" t="str">
        <f>IF(E14=""," ",E14)</f>
        <v xml:space="preserve"> </v>
      </c>
      <c r="F106" s="11"/>
      <c r="G106" s="22" t="str">
        <f>IF($J$2&gt;2,ROUND(SUM(G60+(G60*$J$9)),0),"")</f>
        <v/>
      </c>
      <c r="H106" s="101"/>
      <c r="O106" s="54"/>
    </row>
    <row r="107" spans="1:15" ht="18" customHeight="1">
      <c r="C107" s="9"/>
      <c r="D107" s="10" t="s">
        <v>25</v>
      </c>
      <c r="E107" s="6" t="s">
        <v>48</v>
      </c>
      <c r="F107" s="11"/>
      <c r="G107" s="22" t="str">
        <f>IF($J$2&gt;2,ROUND(SUM(G61+(G61*$J$9)),0),"")</f>
        <v/>
      </c>
      <c r="H107" s="101"/>
      <c r="O107" s="54"/>
    </row>
    <row r="108" spans="1:15" ht="18" customHeight="1">
      <c r="C108" s="9" t="s">
        <v>33</v>
      </c>
      <c r="D108" s="64" t="s">
        <v>75</v>
      </c>
      <c r="E108" s="6"/>
      <c r="F108" s="11"/>
      <c r="G108" s="34"/>
      <c r="H108" s="101"/>
      <c r="O108" s="54"/>
    </row>
    <row r="109" spans="1:15" ht="18" customHeight="1">
      <c r="C109" s="9"/>
      <c r="D109" s="25" t="s">
        <v>1</v>
      </c>
      <c r="E109" s="6" t="s">
        <v>30</v>
      </c>
      <c r="F109" s="11"/>
      <c r="G109" s="22" t="str">
        <f>IF($J$2&gt;2,ROUND(SUM(G63+(G63*$J$9)),0),"")</f>
        <v/>
      </c>
      <c r="H109" s="101"/>
      <c r="O109" s="54"/>
    </row>
    <row r="110" spans="1:15" ht="18" customHeight="1">
      <c r="C110" s="9"/>
      <c r="D110" s="10" t="s">
        <v>2</v>
      </c>
      <c r="E110" s="6" t="s">
        <v>31</v>
      </c>
      <c r="F110" s="11"/>
      <c r="G110" s="22" t="str">
        <f>IF($J$2&gt;2,ROUND(SUM(G64+(G64*$J$9)),0),"")</f>
        <v/>
      </c>
      <c r="H110" s="101"/>
      <c r="O110" s="54"/>
    </row>
    <row r="111" spans="1:15" ht="18" customHeight="1">
      <c r="C111" s="9"/>
      <c r="D111" s="10" t="s">
        <v>3</v>
      </c>
      <c r="E111" s="6" t="s">
        <v>26</v>
      </c>
      <c r="F111" s="5"/>
      <c r="G111" s="22" t="str">
        <f>IF($J$2&gt;2,ROUND(SUM(G65+(G65*$J$9)),0),"")</f>
        <v/>
      </c>
      <c r="H111" s="101"/>
      <c r="O111" s="54"/>
    </row>
    <row r="112" spans="1:15" ht="18" customHeight="1">
      <c r="C112" s="9"/>
      <c r="D112" s="10" t="s">
        <v>4</v>
      </c>
      <c r="E112" s="6" t="s">
        <v>27</v>
      </c>
      <c r="F112" s="6"/>
      <c r="G112" s="23" t="str">
        <f>IF($J$2&gt;2,ROUND(SUM(G66+(G66*$J$9)),0),"")</f>
        <v/>
      </c>
      <c r="H112" s="101"/>
      <c r="O112" s="54"/>
    </row>
    <row r="113" spans="3:15" ht="18" customHeight="1">
      <c r="C113" s="8"/>
      <c r="D113" s="65" t="s">
        <v>24</v>
      </c>
      <c r="E113" s="5" t="s">
        <v>82</v>
      </c>
      <c r="F113" s="5"/>
      <c r="G113" s="22" t="str">
        <f>IF($J$2&gt;2,ROUND(SUM(G67+(G67*$J$9)),0),"")</f>
        <v/>
      </c>
      <c r="H113" s="101"/>
      <c r="O113" s="54"/>
    </row>
    <row r="114" spans="3:15" ht="18" customHeight="1">
      <c r="C114" s="9" t="s">
        <v>5</v>
      </c>
      <c r="D114" s="6" t="s">
        <v>37</v>
      </c>
      <c r="E114" s="6"/>
      <c r="F114" s="5"/>
      <c r="G114" s="22" t="str">
        <f>IF($J$2&gt;2,SUM(G102:G113),"")</f>
        <v/>
      </c>
      <c r="H114" s="101"/>
      <c r="O114" s="54"/>
    </row>
    <row r="115" spans="3:15" ht="18" customHeight="1">
      <c r="C115" s="9" t="s">
        <v>6</v>
      </c>
      <c r="D115" s="6" t="s">
        <v>78</v>
      </c>
      <c r="E115" s="6"/>
      <c r="F115" s="59"/>
      <c r="G115" s="34"/>
      <c r="H115" s="101"/>
      <c r="O115" s="54"/>
    </row>
    <row r="116" spans="3:15" ht="18" customHeight="1">
      <c r="C116" s="9"/>
      <c r="D116" s="6" t="s">
        <v>84</v>
      </c>
      <c r="E116" s="6"/>
      <c r="F116" s="71">
        <v>0.41</v>
      </c>
      <c r="G116" s="22" t="str">
        <f>IF($J$2&gt;2,ROUND((F116)*SUM(G102:G110),0),"")</f>
        <v/>
      </c>
      <c r="H116" s="101"/>
      <c r="J116" s="84" t="s">
        <v>99</v>
      </c>
      <c r="K116" s="85" t="s">
        <v>108</v>
      </c>
      <c r="L116" s="86"/>
      <c r="O116" s="54"/>
    </row>
    <row r="117" spans="3:15" ht="18" customHeight="1">
      <c r="C117" s="9"/>
      <c r="D117" s="6" t="s">
        <v>85</v>
      </c>
      <c r="E117" s="6"/>
      <c r="F117" s="69">
        <v>7.6499999999999999E-2</v>
      </c>
      <c r="G117" s="22" t="str">
        <f>IF($J$2&gt;2,ROUND(F117*G113,0),"")</f>
        <v/>
      </c>
      <c r="H117" s="101"/>
      <c r="J117" s="87" t="s">
        <v>100</v>
      </c>
      <c r="K117" s="88" t="str">
        <f>IF($J$2&gt;2,K70,"")</f>
        <v/>
      </c>
      <c r="L117" s="89" t="str">
        <f>IF($J$2&gt;2,(K117/12)*2162,"")</f>
        <v/>
      </c>
      <c r="O117" s="54"/>
    </row>
    <row r="118" spans="3:15" ht="18" customHeight="1">
      <c r="C118" s="9"/>
      <c r="D118" s="6" t="s">
        <v>103</v>
      </c>
      <c r="E118" s="6"/>
      <c r="F118" s="69"/>
      <c r="G118" s="22" t="str">
        <f>IF($J$2&gt;2,L120,"")</f>
        <v/>
      </c>
      <c r="H118" s="101"/>
      <c r="J118" s="87" t="s">
        <v>101</v>
      </c>
      <c r="K118" s="88" t="str">
        <f>IF($J$2&gt;2,K71,"")</f>
        <v/>
      </c>
      <c r="L118" s="89" t="str">
        <f>IF($J$2&gt;2,(K118/9)*1730,"")</f>
        <v/>
      </c>
      <c r="O118" s="54"/>
    </row>
    <row r="119" spans="3:15" ht="18" customHeight="1">
      <c r="C119" s="9" t="s">
        <v>7</v>
      </c>
      <c r="D119" s="6" t="s">
        <v>79</v>
      </c>
      <c r="E119" s="6"/>
      <c r="F119" s="69"/>
      <c r="G119" s="22" t="str">
        <f>IF($J$2&gt;2,SUM(G116:G118),"")</f>
        <v/>
      </c>
      <c r="H119" s="101"/>
      <c r="J119" s="87" t="s">
        <v>102</v>
      </c>
      <c r="K119" s="88" t="str">
        <f>IF($J$2&gt;2,K72,"")</f>
        <v/>
      </c>
      <c r="L119" s="89" t="str">
        <f>IF($J$2&gt;2,(K119/3)*432,"")</f>
        <v/>
      </c>
      <c r="O119" s="54"/>
    </row>
    <row r="120" spans="3:15" ht="18" customHeight="1">
      <c r="C120" s="9" t="s">
        <v>8</v>
      </c>
      <c r="D120" s="5" t="s">
        <v>38</v>
      </c>
      <c r="E120" s="6"/>
      <c r="F120" s="11"/>
      <c r="G120" s="23" t="str">
        <f>IF($J$2&gt;2,SUM(G114+G119),"")</f>
        <v/>
      </c>
      <c r="H120" s="101"/>
      <c r="J120" s="86"/>
      <c r="K120" s="86"/>
      <c r="L120" s="89" t="str">
        <f>IF($J$2&gt;2,SUM(L117:L119),"")</f>
        <v/>
      </c>
      <c r="O120" s="54"/>
    </row>
    <row r="121" spans="3:15" ht="18" customHeight="1">
      <c r="C121" s="8" t="s">
        <v>9</v>
      </c>
      <c r="D121" s="5" t="s">
        <v>28</v>
      </c>
      <c r="E121" s="6"/>
      <c r="F121" s="13"/>
      <c r="G121" s="22" t="str">
        <f>IF($J$2&gt;2,ROUND(SUM(G75+(G75*$J$12)),0),"")</f>
        <v/>
      </c>
      <c r="H121" s="101"/>
      <c r="O121" s="54"/>
    </row>
    <row r="122" spans="3:15" ht="18" customHeight="1">
      <c r="C122" s="14" t="s">
        <v>10</v>
      </c>
      <c r="D122" s="15" t="s">
        <v>19</v>
      </c>
      <c r="E122" s="2"/>
      <c r="F122" s="11"/>
      <c r="G122" s="22" t="str">
        <f>IF($J$2&gt;2,ROUND(SUM(G76+(G76*$J$12)),0),"")</f>
        <v/>
      </c>
      <c r="H122" s="101"/>
      <c r="L122" s="45" t="s">
        <v>61</v>
      </c>
      <c r="O122" s="54"/>
    </row>
    <row r="123" spans="3:15" ht="18" customHeight="1">
      <c r="C123" s="9" t="s">
        <v>11</v>
      </c>
      <c r="D123" s="16" t="s">
        <v>34</v>
      </c>
      <c r="E123" s="6"/>
      <c r="F123" s="11"/>
      <c r="G123" s="22" t="str">
        <f>IF($J$2&gt;2,ROUND(SUM(G77+(G77*$J$12)),0),"")</f>
        <v/>
      </c>
      <c r="H123" s="101"/>
      <c r="J123" s="46" t="s">
        <v>55</v>
      </c>
      <c r="L123" s="45" t="s">
        <v>62</v>
      </c>
      <c r="O123" s="54"/>
    </row>
    <row r="124" spans="3:15" ht="18" customHeight="1">
      <c r="C124" s="9" t="s">
        <v>12</v>
      </c>
      <c r="D124" s="16" t="s">
        <v>35</v>
      </c>
      <c r="E124" s="6"/>
      <c r="F124" s="11"/>
      <c r="G124" s="30"/>
      <c r="H124" s="101"/>
      <c r="J124" s="46" t="s">
        <v>56</v>
      </c>
      <c r="K124" s="44" t="s">
        <v>58</v>
      </c>
      <c r="L124" s="45" t="s">
        <v>63</v>
      </c>
      <c r="O124" s="54"/>
    </row>
    <row r="125" spans="3:15" ht="18" customHeight="1">
      <c r="C125" s="26"/>
      <c r="D125" s="16" t="s">
        <v>39</v>
      </c>
      <c r="E125" s="6"/>
      <c r="F125" s="11"/>
      <c r="G125" s="23" t="str">
        <f>IF($J$2&gt;2,SUM(K125:K128),"")</f>
        <v/>
      </c>
      <c r="H125" s="101"/>
      <c r="J125" s="38" t="s">
        <v>50</v>
      </c>
      <c r="K125" s="41"/>
      <c r="L125" s="47">
        <f>IF(K125+L35+L79&gt;=25000,25000-(L35+L79),K125)</f>
        <v>0</v>
      </c>
      <c r="O125" s="54"/>
    </row>
    <row r="126" spans="3:15" ht="18" customHeight="1">
      <c r="C126" s="9"/>
      <c r="D126" s="16" t="s">
        <v>40</v>
      </c>
      <c r="E126" s="6"/>
      <c r="F126" s="11"/>
      <c r="G126" s="22" t="str">
        <f>IF($J$2&gt;2,ROUND(SUM(G80+(G80*$J$12)),0),"")</f>
        <v/>
      </c>
      <c r="H126" s="101"/>
      <c r="J126" s="39" t="s">
        <v>51</v>
      </c>
      <c r="K126" s="42"/>
      <c r="L126" s="47">
        <f>IF(K126+L36+L80&gt;=25000,25000-(L36+L80),K126)</f>
        <v>0</v>
      </c>
      <c r="O126" s="54"/>
    </row>
    <row r="127" spans="3:15" ht="18" customHeight="1">
      <c r="C127" s="9"/>
      <c r="D127" s="16" t="s">
        <v>77</v>
      </c>
      <c r="E127" s="6"/>
      <c r="F127" s="11"/>
      <c r="G127" s="22" t="str">
        <f>IF($J$2&gt;2,ROUND(SUM(G81+(G81*$J$12)),0),"")</f>
        <v/>
      </c>
      <c r="H127" s="101"/>
      <c r="J127" s="39" t="s">
        <v>52</v>
      </c>
      <c r="K127" s="42"/>
      <c r="L127" s="47">
        <f>IF(K127+L37+L81&gt;=25000,25000-(L37+L81),K127)</f>
        <v>0</v>
      </c>
      <c r="O127" s="54"/>
    </row>
    <row r="128" spans="3:15" ht="18" customHeight="1">
      <c r="C128" s="9" t="s">
        <v>13</v>
      </c>
      <c r="D128" s="16" t="s">
        <v>36</v>
      </c>
      <c r="E128" s="6"/>
      <c r="F128" s="11"/>
      <c r="G128" s="22" t="str">
        <f>IF($J$2&gt;2,ROUND(SUM(G82+(G82*$J$12)),0),"")</f>
        <v/>
      </c>
      <c r="H128" s="101"/>
      <c r="J128" s="40" t="s">
        <v>53</v>
      </c>
      <c r="K128" s="43"/>
      <c r="L128" s="47">
        <f>IF(K128+L38+L82&gt;=25000,25000-(L38+L82),K128)</f>
        <v>0</v>
      </c>
      <c r="O128" s="54"/>
    </row>
    <row r="129" spans="1:15" ht="18" customHeight="1">
      <c r="B129" s="62"/>
      <c r="C129" s="9" t="s">
        <v>14</v>
      </c>
      <c r="D129" s="6" t="s">
        <v>18</v>
      </c>
      <c r="E129" s="6"/>
      <c r="F129" s="11"/>
      <c r="G129" s="23"/>
      <c r="H129" s="101"/>
      <c r="O129" s="54"/>
    </row>
    <row r="130" spans="1:15" ht="18" customHeight="1">
      <c r="B130" s="31"/>
      <c r="C130" s="9" t="s">
        <v>15</v>
      </c>
      <c r="D130" s="6" t="s">
        <v>95</v>
      </c>
      <c r="E130" s="6"/>
      <c r="F130" s="11"/>
      <c r="G130" s="22" t="str">
        <f>IF($J$2&gt;2,ROUND(SUM(G84+(G84*$J$12)),0),"")</f>
        <v/>
      </c>
      <c r="H130" s="101"/>
      <c r="O130" s="54"/>
    </row>
    <row r="131" spans="1:15" ht="18" customHeight="1">
      <c r="B131" s="31"/>
      <c r="C131" s="9" t="s">
        <v>76</v>
      </c>
      <c r="D131" s="64" t="s">
        <v>89</v>
      </c>
      <c r="E131" s="72"/>
      <c r="F131" s="73">
        <v>0.38</v>
      </c>
      <c r="G131" s="23" t="str">
        <f>IF($J$2&gt;2,ROUND(G111*F131,0),"")</f>
        <v/>
      </c>
      <c r="H131" s="101"/>
      <c r="O131" s="54"/>
    </row>
    <row r="132" spans="1:15" ht="18" customHeight="1">
      <c r="B132" s="31"/>
      <c r="C132" s="12" t="s">
        <v>80</v>
      </c>
      <c r="D132" s="2" t="s">
        <v>29</v>
      </c>
      <c r="E132" s="2"/>
      <c r="F132" s="17"/>
      <c r="G132" s="22" t="str">
        <f>IF($J$2&gt;2,ROUND(SUM(G120:G131),0),"")</f>
        <v/>
      </c>
      <c r="H132" s="101"/>
      <c r="O132" s="54"/>
    </row>
    <row r="133" spans="1:15" ht="18" customHeight="1">
      <c r="A133" s="63"/>
      <c r="B133" s="62"/>
      <c r="C133" s="9" t="s">
        <v>81</v>
      </c>
      <c r="D133" s="6" t="s">
        <v>41</v>
      </c>
      <c r="E133" s="6"/>
      <c r="F133" s="2"/>
      <c r="G133" s="35"/>
      <c r="H133" s="62"/>
      <c r="O133" s="54"/>
    </row>
    <row r="134" spans="1:15" ht="18" customHeight="1">
      <c r="A134" s="63"/>
      <c r="B134" s="63"/>
      <c r="C134" s="37" t="s">
        <v>42</v>
      </c>
      <c r="D134" s="27">
        <f>D42</f>
        <v>0.5</v>
      </c>
      <c r="E134" s="28" t="s">
        <v>43</v>
      </c>
      <c r="F134" s="29" t="str">
        <f>IF($J$2&gt;2,(IF($L$125&gt;25000,"25000",$L$125)+IF($L$126&gt;25000,"25000",$L$126)+IF($L$127&gt;25000,"25000",$L$127)+IF($L$128&gt;25000,"25000",$L$128)+$G$132-$G$125-$G$129-$G$131-$G$130),"")</f>
        <v/>
      </c>
      <c r="G134" s="22" t="str">
        <f>IF($J$2&gt;2,((ROUND((((G102*$F$116)+(G102))*$D$134),0))+(ROUND((((G103*$F$116)+(G103))*$D$134),0))+(ROUND((((G104*$F$116)+(G104))*$D$134),0))+(ROUND((((G105*$F$116)+(G105))*$D$134),0))+(ROUND((((G106*$F$116)+(G106))*$D$134),0))+(ROUND((((G107*$F$116)+(G107))*$D$134),0))+(ROUND((((G109*$F$116)+(G109))*$D$134),0))+(ROUND((((G110*$F$116)+(G110))*$D$134),0))+(ROUND((((G118)+(G111))*$D$134),0))+(ROUND(((G112)*$D$134),0))+(ROUND((((G113*$F$117)+(G113))*$D$134),0))+(ROUND(((G121)*$D$134),0))+(ROUND(((G122)*$D$134),0))+(ROUND(((G123)*$D$134),0))+(ROUND(((IF($L$125&gt;25000,"25000",$L$125)+IF($L$126&gt;25000,"25000",$L$126)+IF($L$127&gt;25000,"25000",$L$127)+IF($L$128&gt;25000,"25000",$L$128))*$D$134),0))+(ROUND(((G126)*$D$134),0))+(ROUND(((G127)*$D$134),0))+(ROUND(((G128)*$D$134),0))),"")</f>
        <v/>
      </c>
      <c r="H134" s="62"/>
      <c r="O134" s="54"/>
    </row>
    <row r="135" spans="1:15" ht="18" customHeight="1" thickBot="1">
      <c r="A135" s="63"/>
      <c r="B135" s="68"/>
      <c r="C135" s="36" t="s">
        <v>94</v>
      </c>
      <c r="D135" s="18" t="s">
        <v>32</v>
      </c>
      <c r="E135" s="19"/>
      <c r="F135" s="20"/>
      <c r="G135" s="24" t="str">
        <f>IF($J$2&gt;2,SUM(G132:G134),"")</f>
        <v/>
      </c>
      <c r="H135" s="68"/>
      <c r="I135" s="68"/>
      <c r="O135" s="54"/>
    </row>
    <row r="136" spans="1:15" ht="18" customHeight="1">
      <c r="A136" s="63" t="s">
        <v>92</v>
      </c>
      <c r="C136" s="81"/>
      <c r="D136" s="4"/>
      <c r="E136" s="2"/>
      <c r="F136" s="2"/>
      <c r="G136" s="82"/>
      <c r="H136" s="68"/>
      <c r="I136" s="68"/>
      <c r="O136" s="54"/>
    </row>
    <row r="137" spans="1:15" ht="18" customHeight="1">
      <c r="A137" s="63"/>
      <c r="B137" s="63" t="s">
        <v>93</v>
      </c>
      <c r="C137" s="81"/>
      <c r="D137" s="4"/>
      <c r="E137" s="2"/>
      <c r="F137" s="2"/>
      <c r="G137" s="82"/>
      <c r="H137" s="68"/>
      <c r="I137" s="68"/>
      <c r="O137" s="54"/>
    </row>
    <row r="138" spans="1:15" ht="18" customHeight="1">
      <c r="A138" s="63"/>
      <c r="B138" s="63"/>
      <c r="C138" s="81"/>
      <c r="D138" s="4"/>
      <c r="E138" s="2"/>
      <c r="F138" s="2"/>
      <c r="G138" s="82"/>
      <c r="H138" s="68"/>
      <c r="I138" s="68"/>
      <c r="O138" s="54"/>
    </row>
    <row r="139" spans="1:15" ht="18" customHeight="1">
      <c r="A139" s="98" t="s">
        <v>16</v>
      </c>
      <c r="B139" s="98"/>
      <c r="C139" s="98"/>
      <c r="D139" s="98"/>
      <c r="E139" s="98"/>
      <c r="F139" s="98"/>
      <c r="G139" s="98"/>
      <c r="H139" s="98"/>
      <c r="I139" s="98"/>
      <c r="O139" s="54"/>
    </row>
    <row r="140" spans="1:15" ht="18" customHeight="1">
      <c r="A140" s="97" t="s">
        <v>20</v>
      </c>
      <c r="B140" s="97"/>
      <c r="C140" s="97"/>
      <c r="D140" s="97"/>
      <c r="E140" s="97"/>
      <c r="F140" s="97"/>
      <c r="G140" s="97"/>
      <c r="H140" s="97"/>
      <c r="I140" s="97"/>
      <c r="O140" s="54"/>
    </row>
    <row r="141" spans="1:15" ht="18" customHeight="1">
      <c r="A141" s="97" t="s">
        <v>46</v>
      </c>
      <c r="B141" s="97"/>
      <c r="C141" s="97"/>
      <c r="D141" s="97"/>
      <c r="E141" s="97"/>
      <c r="F141" s="97"/>
      <c r="G141" s="97"/>
      <c r="H141" s="97"/>
      <c r="I141" s="97"/>
      <c r="O141" s="54"/>
    </row>
    <row r="142" spans="1:15" ht="18" customHeight="1">
      <c r="A142" s="4" t="s">
        <v>22</v>
      </c>
      <c r="C142" s="76"/>
      <c r="D142" s="96" t="str">
        <f>IF($J$2&gt;3,D96,"")</f>
        <v/>
      </c>
      <c r="E142" s="96"/>
      <c r="F142" s="96"/>
      <c r="G142" s="96"/>
      <c r="H142" s="96"/>
      <c r="I142" s="21"/>
      <c r="O142" s="54"/>
    </row>
    <row r="143" spans="1:15" ht="18" customHeight="1">
      <c r="A143" s="50" t="s">
        <v>21</v>
      </c>
      <c r="C143" s="76"/>
      <c r="D143" s="96" t="str">
        <f>IF($J$2&gt;3,D97,"")</f>
        <v/>
      </c>
      <c r="E143" s="96"/>
      <c r="F143" s="96"/>
      <c r="G143" s="96"/>
      <c r="H143" s="96"/>
      <c r="O143" s="54"/>
    </row>
    <row r="144" spans="1:15" ht="18" customHeight="1">
      <c r="D144" s="79"/>
      <c r="E144" s="79"/>
      <c r="F144" s="79"/>
      <c r="G144" s="79"/>
      <c r="O144" s="54"/>
    </row>
    <row r="145" spans="3:15" ht="18" customHeight="1" thickBot="1">
      <c r="O145" s="54"/>
    </row>
    <row r="146" spans="3:15" ht="18" customHeight="1" thickBot="1">
      <c r="C146" s="2"/>
      <c r="D146" s="2"/>
      <c r="E146" s="2"/>
      <c r="F146" s="2"/>
      <c r="G146" s="66" t="s">
        <v>23</v>
      </c>
      <c r="J146" s="48"/>
      <c r="O146" s="54"/>
    </row>
    <row r="147" spans="3:15" ht="18" customHeight="1">
      <c r="C147" s="60" t="s">
        <v>0</v>
      </c>
      <c r="D147" s="67" t="s">
        <v>74</v>
      </c>
      <c r="E147" s="61"/>
      <c r="F147" s="61"/>
      <c r="G147" s="58"/>
      <c r="J147" s="57"/>
      <c r="O147" s="54"/>
    </row>
    <row r="148" spans="3:15" ht="18" customHeight="1">
      <c r="C148" s="9"/>
      <c r="D148" s="10" t="s">
        <v>1</v>
      </c>
      <c r="E148" s="6" t="str">
        <f>IF(E10=""," ",E10)</f>
        <v xml:space="preserve"> </v>
      </c>
      <c r="F148" s="11"/>
      <c r="G148" s="22" t="str">
        <f>IF($J$2&gt;3,ROUND(SUM(G102+(G102*$J$9)),0),"")</f>
        <v/>
      </c>
      <c r="H148" s="101"/>
      <c r="J148" s="48"/>
      <c r="O148" s="54"/>
    </row>
    <row r="149" spans="3:15" ht="18" customHeight="1">
      <c r="C149" s="9"/>
      <c r="D149" s="10" t="s">
        <v>2</v>
      </c>
      <c r="E149" s="6" t="str">
        <f>IF(E11=""," ",E11)</f>
        <v xml:space="preserve"> </v>
      </c>
      <c r="F149" s="11"/>
      <c r="G149" s="22" t="str">
        <f>IF($J$2&gt;3,ROUND(SUM(G103+(G103*$J$9)),0),"")</f>
        <v/>
      </c>
      <c r="H149" s="101"/>
      <c r="J149" s="74"/>
      <c r="O149" s="54"/>
    </row>
    <row r="150" spans="3:15" ht="18" customHeight="1">
      <c r="C150" s="9"/>
      <c r="D150" s="10" t="s">
        <v>3</v>
      </c>
      <c r="E150" s="6" t="str">
        <f>IF(E12=""," ",E12)</f>
        <v xml:space="preserve"> </v>
      </c>
      <c r="F150" s="11"/>
      <c r="G150" s="22" t="str">
        <f>IF($J$2&gt;3,ROUND(SUM(G104+(G104*$J$9)),0),"")</f>
        <v/>
      </c>
      <c r="H150" s="101"/>
      <c r="O150" s="54"/>
    </row>
    <row r="151" spans="3:15" ht="18" customHeight="1">
      <c r="C151" s="9"/>
      <c r="D151" s="10" t="s">
        <v>4</v>
      </c>
      <c r="E151" s="6" t="str">
        <f>IF(E13=""," ",E13)</f>
        <v xml:space="preserve"> </v>
      </c>
      <c r="F151" s="11"/>
      <c r="G151" s="22" t="str">
        <f>IF($J$2&gt;3,ROUND(SUM(G105+(G105*$J$9)),0),"")</f>
        <v/>
      </c>
      <c r="H151" s="101"/>
      <c r="O151" s="54"/>
    </row>
    <row r="152" spans="3:15" ht="18" customHeight="1">
      <c r="C152" s="9"/>
      <c r="D152" s="10" t="s">
        <v>24</v>
      </c>
      <c r="E152" s="6" t="str">
        <f>IF(E14=""," ",E14)</f>
        <v xml:space="preserve"> </v>
      </c>
      <c r="F152" s="11"/>
      <c r="G152" s="22" t="str">
        <f>IF($J$2&gt;3,ROUND(SUM(G106+(G106*$J$9)),0),"")</f>
        <v/>
      </c>
      <c r="H152" s="101"/>
      <c r="O152" s="54"/>
    </row>
    <row r="153" spans="3:15" ht="18" customHeight="1">
      <c r="C153" s="9"/>
      <c r="D153" s="10" t="s">
        <v>25</v>
      </c>
      <c r="E153" s="6" t="s">
        <v>48</v>
      </c>
      <c r="F153" s="11"/>
      <c r="G153" s="22" t="str">
        <f>IF($J$2&gt;3,ROUND(SUM(G107+(G107*$J$9)),0),"")</f>
        <v/>
      </c>
      <c r="H153" s="101"/>
      <c r="O153" s="54"/>
    </row>
    <row r="154" spans="3:15" ht="18" customHeight="1">
      <c r="C154" s="9" t="s">
        <v>33</v>
      </c>
      <c r="D154" s="64" t="s">
        <v>75</v>
      </c>
      <c r="E154" s="6"/>
      <c r="F154" s="11"/>
      <c r="G154" s="34"/>
      <c r="H154" s="101"/>
      <c r="O154" s="54"/>
    </row>
    <row r="155" spans="3:15" ht="18" customHeight="1">
      <c r="C155" s="9"/>
      <c r="D155" s="25" t="s">
        <v>1</v>
      </c>
      <c r="E155" s="6" t="s">
        <v>30</v>
      </c>
      <c r="F155" s="11"/>
      <c r="G155" s="22" t="str">
        <f>IF($J$2&gt;3,ROUND(SUM(G109+(G109*$J$9)),0),"")</f>
        <v/>
      </c>
      <c r="H155" s="101"/>
      <c r="O155" s="54"/>
    </row>
    <row r="156" spans="3:15" ht="18" customHeight="1">
      <c r="C156" s="9"/>
      <c r="D156" s="10" t="s">
        <v>2</v>
      </c>
      <c r="E156" s="6" t="s">
        <v>31</v>
      </c>
      <c r="F156" s="11"/>
      <c r="G156" s="22" t="str">
        <f>IF($J$2&gt;3,ROUND(SUM(G110+(G110*$J$9)),0),"")</f>
        <v/>
      </c>
      <c r="H156" s="101"/>
      <c r="O156" s="54"/>
    </row>
    <row r="157" spans="3:15" ht="18" customHeight="1">
      <c r="C157" s="9"/>
      <c r="D157" s="10" t="s">
        <v>3</v>
      </c>
      <c r="E157" s="6" t="s">
        <v>26</v>
      </c>
      <c r="F157" s="5"/>
      <c r="G157" s="22" t="str">
        <f>IF($J$2&gt;3,ROUND(SUM(G111+(G111*$J$9)),0),"")</f>
        <v/>
      </c>
      <c r="H157" s="101"/>
      <c r="O157" s="54"/>
    </row>
    <row r="158" spans="3:15" ht="18" customHeight="1">
      <c r="C158" s="9"/>
      <c r="D158" s="10" t="s">
        <v>4</v>
      </c>
      <c r="E158" s="6" t="s">
        <v>27</v>
      </c>
      <c r="F158" s="6"/>
      <c r="G158" s="23" t="str">
        <f>IF($J$2&gt;3,ROUND(SUM(G112+(G112*$J$9)),0),"")</f>
        <v/>
      </c>
      <c r="H158" s="101"/>
      <c r="O158" s="54"/>
    </row>
    <row r="159" spans="3:15" ht="18" customHeight="1">
      <c r="C159" s="8"/>
      <c r="D159" s="65" t="s">
        <v>24</v>
      </c>
      <c r="E159" s="5" t="s">
        <v>82</v>
      </c>
      <c r="F159" s="5"/>
      <c r="G159" s="22" t="str">
        <f>IF($J$2&gt;3,ROUND(SUM(G113+(G113*$J$9)),0),"")</f>
        <v/>
      </c>
      <c r="H159" s="101"/>
      <c r="O159" s="54"/>
    </row>
    <row r="160" spans="3:15" ht="18" customHeight="1">
      <c r="C160" s="9" t="s">
        <v>5</v>
      </c>
      <c r="D160" s="6" t="s">
        <v>37</v>
      </c>
      <c r="E160" s="6"/>
      <c r="F160" s="5"/>
      <c r="G160" s="22" t="str">
        <f>IF($J$2&gt;3,ROUND(SUM(G148:G159),0),"")</f>
        <v/>
      </c>
      <c r="H160" s="101"/>
    </row>
    <row r="161" spans="2:12" ht="18" customHeight="1">
      <c r="C161" s="9" t="s">
        <v>6</v>
      </c>
      <c r="D161" s="6" t="s">
        <v>78</v>
      </c>
      <c r="E161" s="6"/>
      <c r="F161" s="59"/>
      <c r="G161" s="34"/>
      <c r="H161" s="101"/>
      <c r="J161" s="84" t="s">
        <v>99</v>
      </c>
      <c r="K161" s="85" t="s">
        <v>108</v>
      </c>
      <c r="L161" s="86"/>
    </row>
    <row r="162" spans="2:12" ht="18" customHeight="1">
      <c r="C162" s="9"/>
      <c r="D162" s="6" t="s">
        <v>84</v>
      </c>
      <c r="E162" s="6"/>
      <c r="F162" s="71">
        <v>0.41</v>
      </c>
      <c r="G162" s="22" t="str">
        <f>IF($J$2&gt;3,ROUND((F162)*SUM(G148:G156),0),"")</f>
        <v/>
      </c>
      <c r="H162" s="101"/>
      <c r="J162" s="87" t="s">
        <v>100</v>
      </c>
      <c r="K162" s="88" t="str">
        <f>IF($J$2&gt;3,K117,"")</f>
        <v/>
      </c>
      <c r="L162" s="89" t="str">
        <f>IF($J$2&gt;3,(K162/12)*2162,"")</f>
        <v/>
      </c>
    </row>
    <row r="163" spans="2:12" ht="18" customHeight="1">
      <c r="C163" s="9"/>
      <c r="D163" s="6" t="s">
        <v>85</v>
      </c>
      <c r="E163" s="6"/>
      <c r="F163" s="69">
        <v>7.6499999999999999E-2</v>
      </c>
      <c r="G163" s="22" t="str">
        <f>IF($J$2&gt;3,ROUND(F163*G159,0),"")</f>
        <v/>
      </c>
      <c r="H163" s="101"/>
      <c r="J163" s="87" t="s">
        <v>101</v>
      </c>
      <c r="K163" s="88" t="str">
        <f>IF($J$2&gt;3,K118,"")</f>
        <v/>
      </c>
      <c r="L163" s="89" t="str">
        <f>IF($J$2&gt;3,(K163/9)*1730,"")</f>
        <v/>
      </c>
    </row>
    <row r="164" spans="2:12" ht="18" customHeight="1">
      <c r="C164" s="9"/>
      <c r="D164" s="6" t="s">
        <v>103</v>
      </c>
      <c r="E164" s="6"/>
      <c r="F164" s="69"/>
      <c r="G164" s="22" t="str">
        <f>IF($J$2&gt;3,L165,"")</f>
        <v/>
      </c>
      <c r="H164" s="101"/>
      <c r="J164" s="87" t="s">
        <v>102</v>
      </c>
      <c r="K164" s="88" t="str">
        <f>IF($J$2&gt;3,K119,"")</f>
        <v/>
      </c>
      <c r="L164" s="89" t="str">
        <f>IF($J$2&gt;3,(K164/3)*432,"")</f>
        <v/>
      </c>
    </row>
    <row r="165" spans="2:12" ht="18" customHeight="1">
      <c r="C165" s="9" t="s">
        <v>7</v>
      </c>
      <c r="D165" s="6" t="s">
        <v>79</v>
      </c>
      <c r="E165" s="6"/>
      <c r="F165" s="69"/>
      <c r="G165" s="22" t="str">
        <f>IF($J$2&gt;3,ROUND(SUM(G162:G164),0),"")</f>
        <v/>
      </c>
      <c r="H165" s="101"/>
      <c r="J165" s="86"/>
      <c r="K165" s="86"/>
      <c r="L165" s="89" t="str">
        <f>IF($J$2&gt;3,SUM(L162:L164),"")</f>
        <v/>
      </c>
    </row>
    <row r="166" spans="2:12" ht="18" customHeight="1">
      <c r="C166" s="9" t="s">
        <v>8</v>
      </c>
      <c r="D166" s="5" t="s">
        <v>38</v>
      </c>
      <c r="E166" s="6"/>
      <c r="F166" s="11"/>
      <c r="G166" s="23" t="str">
        <f>IF($J$2&gt;3,ROUND(SUM(G160+G165),0),"")</f>
        <v/>
      </c>
      <c r="H166" s="101"/>
      <c r="L166" s="45" t="s">
        <v>61</v>
      </c>
    </row>
    <row r="167" spans="2:12" ht="18" customHeight="1">
      <c r="C167" s="8" t="s">
        <v>9</v>
      </c>
      <c r="D167" s="5" t="s">
        <v>28</v>
      </c>
      <c r="E167" s="6"/>
      <c r="F167" s="13"/>
      <c r="G167" s="22" t="str">
        <f>IF($J$2&gt;3,ROUND(SUM(G121+(G121*$J$12)),0),"")</f>
        <v/>
      </c>
      <c r="H167" s="101"/>
      <c r="J167" s="46" t="s">
        <v>55</v>
      </c>
      <c r="L167" s="45" t="s">
        <v>62</v>
      </c>
    </row>
    <row r="168" spans="2:12" ht="18" customHeight="1">
      <c r="C168" s="14" t="s">
        <v>10</v>
      </c>
      <c r="D168" s="15" t="s">
        <v>19</v>
      </c>
      <c r="E168" s="2"/>
      <c r="F168" s="11"/>
      <c r="G168" s="22" t="str">
        <f>IF($J$2&gt;3,ROUND(SUM(G122+(G122*$J$12)),0),"")</f>
        <v/>
      </c>
      <c r="H168" s="101"/>
      <c r="J168" s="46" t="s">
        <v>56</v>
      </c>
      <c r="K168" s="44" t="s">
        <v>59</v>
      </c>
      <c r="L168" s="45" t="s">
        <v>63</v>
      </c>
    </row>
    <row r="169" spans="2:12" ht="18" customHeight="1">
      <c r="C169" s="9" t="s">
        <v>11</v>
      </c>
      <c r="D169" s="16" t="s">
        <v>34</v>
      </c>
      <c r="E169" s="6"/>
      <c r="F169" s="11"/>
      <c r="G169" s="22" t="str">
        <f>IF($J$2&gt;3,ROUND(SUM(G123+(G123*$J$12)),0),"")</f>
        <v/>
      </c>
      <c r="H169" s="101"/>
      <c r="J169" s="38" t="s">
        <v>50</v>
      </c>
      <c r="K169" s="41"/>
      <c r="L169" s="47">
        <f>IF(K169+L35+L79+L125&gt;=25000,25000-(L35+L79+L125),K169)</f>
        <v>0</v>
      </c>
    </row>
    <row r="170" spans="2:12" ht="18" customHeight="1">
      <c r="C170" s="9" t="s">
        <v>12</v>
      </c>
      <c r="D170" s="16" t="s">
        <v>35</v>
      </c>
      <c r="E170" s="6"/>
      <c r="F170" s="11"/>
      <c r="G170" s="35"/>
      <c r="H170" s="101"/>
      <c r="J170" s="39" t="s">
        <v>51</v>
      </c>
      <c r="K170" s="42"/>
      <c r="L170" s="47">
        <f>IF(K170+L36+L80+L126&gt;=25000,25000-(L36+L80+L126),K170)</f>
        <v>0</v>
      </c>
    </row>
    <row r="171" spans="2:12" ht="18" customHeight="1">
      <c r="C171" s="26"/>
      <c r="D171" s="16" t="s">
        <v>39</v>
      </c>
      <c r="E171" s="6"/>
      <c r="F171" s="11"/>
      <c r="G171" s="23" t="str">
        <f>IF($J$2&gt;3,SUM(K169:K172),"")</f>
        <v/>
      </c>
      <c r="H171" s="101"/>
      <c r="J171" s="39" t="s">
        <v>52</v>
      </c>
      <c r="K171" s="42"/>
      <c r="L171" s="47">
        <f>IF(K171+L37+L81+L127&gt;=25000,25000-(L37+L81+L127),K171)</f>
        <v>0</v>
      </c>
    </row>
    <row r="172" spans="2:12" ht="18" customHeight="1">
      <c r="C172" s="9"/>
      <c r="D172" s="16" t="s">
        <v>40</v>
      </c>
      <c r="E172" s="6"/>
      <c r="F172" s="11"/>
      <c r="G172" s="22" t="str">
        <f>IF($J$2&gt;3,ROUND(SUM(G126+(G126*$J$12)),0),"")</f>
        <v/>
      </c>
      <c r="H172" s="101"/>
      <c r="J172" s="40" t="s">
        <v>53</v>
      </c>
      <c r="K172" s="43"/>
      <c r="L172" s="47">
        <f>IF(K172+L38+L82+L128&gt;=25000,25000-(L38+L82+L128),K172)</f>
        <v>0</v>
      </c>
    </row>
    <row r="173" spans="2:12" ht="18" customHeight="1">
      <c r="C173" s="9"/>
      <c r="D173" s="16" t="s">
        <v>77</v>
      </c>
      <c r="E173" s="6"/>
      <c r="F173" s="11"/>
      <c r="G173" s="22" t="str">
        <f>IF($J$2&gt;3,ROUND(SUM(G127+(G127*$J$12)),0),"")</f>
        <v/>
      </c>
      <c r="H173" s="101"/>
    </row>
    <row r="174" spans="2:12" ht="18" customHeight="1">
      <c r="B174" s="62"/>
      <c r="C174" s="9" t="s">
        <v>13</v>
      </c>
      <c r="D174" s="16" t="s">
        <v>36</v>
      </c>
      <c r="E174" s="6"/>
      <c r="F174" s="11"/>
      <c r="G174" s="22" t="str">
        <f>IF($J$2&gt;3,ROUND(SUM(G128+(G128*$J$12)),0),"")</f>
        <v/>
      </c>
      <c r="H174" s="101"/>
    </row>
    <row r="175" spans="2:12" ht="18" customHeight="1">
      <c r="B175" s="31"/>
      <c r="C175" s="9" t="s">
        <v>14</v>
      </c>
      <c r="D175" s="6" t="s">
        <v>18</v>
      </c>
      <c r="E175" s="6"/>
      <c r="F175" s="11"/>
      <c r="G175" s="23"/>
      <c r="H175" s="101"/>
    </row>
    <row r="176" spans="2:12" ht="18" customHeight="1">
      <c r="B176" s="31"/>
      <c r="C176" s="9" t="s">
        <v>15</v>
      </c>
      <c r="D176" s="6" t="s">
        <v>95</v>
      </c>
      <c r="E176" s="6"/>
      <c r="F176" s="11"/>
      <c r="G176" s="22" t="str">
        <f>IF($J$2&gt;3,ROUND(SUM(G130+(G130*$J$12)),0),"")</f>
        <v/>
      </c>
      <c r="H176" s="101"/>
    </row>
    <row r="177" spans="1:10" ht="18" customHeight="1">
      <c r="B177" s="31"/>
      <c r="C177" s="9" t="s">
        <v>76</v>
      </c>
      <c r="D177" s="64" t="s">
        <v>89</v>
      </c>
      <c r="E177" s="72"/>
      <c r="F177" s="73">
        <v>0.38</v>
      </c>
      <c r="G177" s="23" t="str">
        <f>IF($J$2&gt;3,ROUND(G157*F177,0),"")</f>
        <v/>
      </c>
      <c r="H177" s="101"/>
    </row>
    <row r="178" spans="1:10" ht="18" customHeight="1">
      <c r="B178" s="62"/>
      <c r="C178" s="12" t="s">
        <v>80</v>
      </c>
      <c r="D178" s="2" t="s">
        <v>29</v>
      </c>
      <c r="E178" s="2"/>
      <c r="F178" s="17"/>
      <c r="G178" s="22" t="str">
        <f>IF($J$2&gt;3,ROUND(SUM(G166:G177),0),"")</f>
        <v/>
      </c>
      <c r="H178" s="102"/>
    </row>
    <row r="179" spans="1:10" ht="18" customHeight="1">
      <c r="A179" s="63"/>
      <c r="B179" s="63"/>
      <c r="C179" s="9" t="s">
        <v>81</v>
      </c>
      <c r="D179" s="6" t="s">
        <v>41</v>
      </c>
      <c r="E179" s="6"/>
      <c r="F179" s="2"/>
      <c r="G179" s="35"/>
    </row>
    <row r="180" spans="1:10" ht="18" customHeight="1">
      <c r="A180" s="63"/>
      <c r="B180" s="68"/>
      <c r="C180" s="37" t="s">
        <v>42</v>
      </c>
      <c r="D180" s="27">
        <f>D42</f>
        <v>0.5</v>
      </c>
      <c r="E180" s="28" t="s">
        <v>43</v>
      </c>
      <c r="F180" s="29" t="str">
        <f>IF($J$2&gt;3,(IF($L$169&gt;25000,"25000",$L$169)+IF($L$170&gt;25000,"25000",$L$170)+IF($L$171&gt;25000,"25000",$L$171)+IF($L$172&gt;25000,"25000",$L$172)+$G$178-$G$171-$G$175-$G$177-$G$176),"")</f>
        <v/>
      </c>
      <c r="G180" s="22" t="str">
        <f>IF($J$2&gt;3,((ROUND((((G148*$F$162)+(G148))*$D$180),0))+(ROUND((((G149*$F$162)+(G149))*$D$180),0))+(ROUND((((G150*$F$162)+(G150))*$D$180),0))+(ROUND((((G151*$F$162)+(G151))*$D$180),0))+(ROUND((((G152*$F$162)+(G152))*$D$180),0))+(ROUND((((G153*$F$162)+(G153))*$D$180),0))+(ROUND((((G155*$F$162)+(G155))*$D$180),0))+(ROUND((((G156*$F$162)+(G156))*$D$180),0))+(ROUND((((G164)+(G157))*$D$180),0))+(ROUND(((G158)*$D$180),0))+(ROUND((((G159*$F$163)+(G159))*$D$180),0))+(ROUND(((G167)*$D$180),0))+(ROUND(((G168)*$D$180),0))+(ROUND(((G169)*$D$180),0))+(ROUND(((IF($L$169&gt;25000,"25000",$L$169)+IF($L$170&gt;25000,"25000",$L$170)+IF($L$171&gt;25000,"25000",$L$171)+IF($L$172&gt;25000,"25000",$L$172))*$D$180),0))+(ROUND(((G172)*$D$180),0))+(ROUND(((G173)*$D$180),0))+(ROUND(((G174)*$D$180),0))),"")</f>
        <v/>
      </c>
      <c r="H180" s="62"/>
    </row>
    <row r="181" spans="1:10" ht="18" customHeight="1" thickBot="1">
      <c r="A181" s="63"/>
      <c r="B181" s="76"/>
      <c r="C181" s="36" t="s">
        <v>94</v>
      </c>
      <c r="D181" s="18" t="s">
        <v>32</v>
      </c>
      <c r="E181" s="19"/>
      <c r="F181" s="20"/>
      <c r="G181" s="24" t="str">
        <f>IF($J$2&gt;3,SUM(G178:G180),"")</f>
        <v/>
      </c>
      <c r="H181" s="76"/>
    </row>
    <row r="182" spans="1:10" ht="18" customHeight="1">
      <c r="A182" s="63" t="s">
        <v>92</v>
      </c>
      <c r="C182" s="81"/>
      <c r="D182" s="4"/>
      <c r="E182" s="2"/>
      <c r="F182" s="2"/>
      <c r="G182" s="82"/>
      <c r="H182" s="76"/>
    </row>
    <row r="183" spans="1:10" ht="18" customHeight="1">
      <c r="A183" s="63"/>
      <c r="B183" s="63" t="s">
        <v>93</v>
      </c>
      <c r="C183" s="81"/>
      <c r="D183" s="4"/>
      <c r="E183" s="2"/>
      <c r="F183" s="2"/>
      <c r="G183" s="82"/>
      <c r="H183" s="76"/>
    </row>
    <row r="184" spans="1:10" ht="18" customHeight="1">
      <c r="A184" s="63"/>
      <c r="B184" s="63"/>
      <c r="C184" s="81"/>
      <c r="D184" s="4"/>
      <c r="E184" s="2"/>
      <c r="F184" s="2"/>
      <c r="G184" s="82"/>
      <c r="H184" s="76"/>
    </row>
    <row r="185" spans="1:10" ht="18" customHeight="1">
      <c r="A185" s="98" t="s">
        <v>16</v>
      </c>
      <c r="B185" s="98"/>
      <c r="C185" s="98"/>
      <c r="D185" s="98"/>
      <c r="E185" s="98"/>
      <c r="F185" s="98"/>
      <c r="G185" s="98"/>
      <c r="H185" s="98"/>
      <c r="I185" s="98"/>
    </row>
    <row r="186" spans="1:10" ht="18" customHeight="1">
      <c r="A186" s="97" t="s">
        <v>20</v>
      </c>
      <c r="B186" s="97"/>
      <c r="C186" s="97"/>
      <c r="D186" s="97"/>
      <c r="E186" s="97"/>
      <c r="F186" s="97"/>
      <c r="G186" s="97"/>
      <c r="H186" s="97"/>
      <c r="I186" s="97"/>
    </row>
    <row r="187" spans="1:10" ht="18" customHeight="1">
      <c r="A187" s="97" t="s">
        <v>47</v>
      </c>
      <c r="B187" s="97"/>
      <c r="C187" s="97"/>
      <c r="D187" s="97"/>
      <c r="E187" s="97"/>
      <c r="F187" s="97"/>
      <c r="G187" s="97"/>
      <c r="H187" s="97"/>
      <c r="I187" s="97"/>
    </row>
    <row r="188" spans="1:10" ht="18" customHeight="1">
      <c r="A188" s="4" t="s">
        <v>22</v>
      </c>
      <c r="C188" s="76"/>
      <c r="D188" s="96" t="str">
        <f>IF($J$2&gt;4,D142,"")</f>
        <v/>
      </c>
      <c r="E188" s="96"/>
      <c r="F188" s="96"/>
      <c r="G188" s="96"/>
      <c r="H188" s="96"/>
      <c r="I188" s="79"/>
    </row>
    <row r="189" spans="1:10" ht="18" customHeight="1">
      <c r="A189" s="50" t="s">
        <v>21</v>
      </c>
      <c r="C189" s="76"/>
      <c r="D189" s="96" t="str">
        <f>IF($J$2&gt;4,D143,"")</f>
        <v/>
      </c>
      <c r="E189" s="96"/>
      <c r="F189" s="96"/>
      <c r="G189" s="96"/>
      <c r="H189" s="96"/>
      <c r="I189" s="21"/>
    </row>
    <row r="190" spans="1:10" ht="18" customHeight="1">
      <c r="D190" s="79"/>
      <c r="E190" s="79"/>
      <c r="F190" s="79"/>
      <c r="G190" s="79"/>
    </row>
    <row r="191" spans="1:10" ht="18" customHeight="1" thickBot="1">
      <c r="J191" s="48"/>
    </row>
    <row r="192" spans="1:10" ht="18" customHeight="1" thickBot="1">
      <c r="C192" s="7"/>
      <c r="D192" s="7"/>
      <c r="E192" s="7"/>
      <c r="F192" s="7"/>
      <c r="G192" s="33" t="s">
        <v>23</v>
      </c>
      <c r="J192" s="57"/>
    </row>
    <row r="193" spans="3:12" ht="18" customHeight="1">
      <c r="C193" s="8" t="s">
        <v>0</v>
      </c>
      <c r="D193" s="2" t="s">
        <v>74</v>
      </c>
      <c r="E193" s="5"/>
      <c r="F193" s="5"/>
      <c r="G193" s="34"/>
      <c r="J193" s="48"/>
    </row>
    <row r="194" spans="3:12" ht="18" customHeight="1">
      <c r="C194" s="9"/>
      <c r="D194" s="10" t="s">
        <v>1</v>
      </c>
      <c r="E194" s="6" t="str">
        <f>IF(E10=""," ",E10)</f>
        <v xml:space="preserve"> </v>
      </c>
      <c r="F194" s="11"/>
      <c r="G194" s="22" t="str">
        <f>IF($J$2&gt;4,ROUND(SUM(G148+(G148*$J$9)),0),"")</f>
        <v/>
      </c>
      <c r="H194" s="101"/>
      <c r="J194" s="74"/>
    </row>
    <row r="195" spans="3:12" ht="18" customHeight="1">
      <c r="C195" s="9"/>
      <c r="D195" s="10" t="s">
        <v>2</v>
      </c>
      <c r="E195" s="6" t="str">
        <f>IF(E11=""," ",E11)</f>
        <v xml:space="preserve"> </v>
      </c>
      <c r="F195" s="11"/>
      <c r="G195" s="22" t="str">
        <f>IF($J$2&gt;4,ROUND(SUM(G149+(G149*$J$9)),0),"")</f>
        <v/>
      </c>
      <c r="H195" s="101"/>
    </row>
    <row r="196" spans="3:12" ht="18" customHeight="1">
      <c r="C196" s="9"/>
      <c r="D196" s="10" t="s">
        <v>3</v>
      </c>
      <c r="E196" s="6" t="str">
        <f>IF(E12=""," ",E12)</f>
        <v xml:space="preserve"> </v>
      </c>
      <c r="F196" s="11"/>
      <c r="G196" s="22" t="str">
        <f>IF($J$2&gt;4,ROUND(SUM(G150+(G150*$J$9)),0),"")</f>
        <v/>
      </c>
      <c r="H196" s="101"/>
    </row>
    <row r="197" spans="3:12" ht="18" customHeight="1">
      <c r="C197" s="9"/>
      <c r="D197" s="10" t="s">
        <v>4</v>
      </c>
      <c r="E197" s="6" t="str">
        <f>IF(E13=""," ",E13)</f>
        <v xml:space="preserve"> </v>
      </c>
      <c r="F197" s="11"/>
      <c r="G197" s="22" t="str">
        <f>IF($J$2&gt;4,ROUND(SUM(G151+(G151*$J$9)),0),"")</f>
        <v/>
      </c>
      <c r="H197" s="101"/>
    </row>
    <row r="198" spans="3:12" ht="18" customHeight="1">
      <c r="C198" s="9"/>
      <c r="D198" s="10" t="s">
        <v>24</v>
      </c>
      <c r="E198" s="6" t="str">
        <f>IF(E14=""," ",E14)</f>
        <v xml:space="preserve"> </v>
      </c>
      <c r="F198" s="11"/>
      <c r="G198" s="22" t="str">
        <f>IF($J$2&gt;4,ROUND(SUM(G152+(G152*$J$9)),0),"")</f>
        <v/>
      </c>
      <c r="H198" s="101"/>
    </row>
    <row r="199" spans="3:12" ht="18" customHeight="1">
      <c r="C199" s="9"/>
      <c r="D199" s="10" t="s">
        <v>25</v>
      </c>
      <c r="E199" s="6" t="s">
        <v>48</v>
      </c>
      <c r="F199" s="11"/>
      <c r="G199" s="22" t="str">
        <f>IF($J$2&gt;4,ROUND(SUM(G153+(G153*$J$9)),0),"")</f>
        <v/>
      </c>
      <c r="H199" s="101"/>
    </row>
    <row r="200" spans="3:12" ht="18" customHeight="1">
      <c r="C200" s="9" t="s">
        <v>33</v>
      </c>
      <c r="D200" s="64" t="s">
        <v>75</v>
      </c>
      <c r="E200" s="6"/>
      <c r="F200" s="11"/>
      <c r="G200" s="34"/>
      <c r="H200" s="101"/>
    </row>
    <row r="201" spans="3:12" ht="18" customHeight="1">
      <c r="C201" s="9"/>
      <c r="D201" s="25" t="s">
        <v>1</v>
      </c>
      <c r="E201" s="6" t="s">
        <v>30</v>
      </c>
      <c r="F201" s="11"/>
      <c r="G201" s="22" t="str">
        <f>IF($J$2&gt;4,ROUND(SUM(G155+(G155*$J$9)),0),"")</f>
        <v/>
      </c>
      <c r="H201" s="101"/>
    </row>
    <row r="202" spans="3:12" ht="18" customHeight="1">
      <c r="C202" s="9"/>
      <c r="D202" s="10" t="s">
        <v>2</v>
      </c>
      <c r="E202" s="6" t="s">
        <v>31</v>
      </c>
      <c r="F202" s="11"/>
      <c r="G202" s="22" t="str">
        <f>IF($J$2&gt;4,ROUND(SUM(G156+(G156*$J$9)),0),"")</f>
        <v/>
      </c>
      <c r="H202" s="101"/>
    </row>
    <row r="203" spans="3:12" ht="18" customHeight="1">
      <c r="C203" s="9"/>
      <c r="D203" s="10" t="s">
        <v>3</v>
      </c>
      <c r="E203" s="6" t="s">
        <v>26</v>
      </c>
      <c r="F203" s="5"/>
      <c r="G203" s="22" t="str">
        <f>IF($J$2&gt;4,ROUND(SUM(G157+(G157*$J$9)),0),"")</f>
        <v/>
      </c>
      <c r="H203" s="101"/>
    </row>
    <row r="204" spans="3:12" ht="18" customHeight="1">
      <c r="C204" s="9"/>
      <c r="D204" s="10" t="s">
        <v>4</v>
      </c>
      <c r="E204" s="6" t="s">
        <v>27</v>
      </c>
      <c r="F204" s="6"/>
      <c r="G204" s="22" t="str">
        <f>IF($J$2&gt;4,ROUND(SUM(G158+(G158*$J$9)),0),"")</f>
        <v/>
      </c>
      <c r="H204" s="101"/>
    </row>
    <row r="205" spans="3:12" ht="18" customHeight="1">
      <c r="C205" s="8"/>
      <c r="D205" s="65" t="s">
        <v>24</v>
      </c>
      <c r="E205" s="5" t="s">
        <v>82</v>
      </c>
      <c r="F205" s="5"/>
      <c r="G205" s="22" t="str">
        <f>IF($J$2&gt;4,ROUND(SUM(G159+(G159*$J$9)),0),"")</f>
        <v/>
      </c>
      <c r="H205" s="101"/>
    </row>
    <row r="206" spans="3:12" ht="18" customHeight="1">
      <c r="C206" s="9" t="s">
        <v>5</v>
      </c>
      <c r="D206" s="6" t="s">
        <v>37</v>
      </c>
      <c r="E206" s="6"/>
      <c r="F206" s="5"/>
      <c r="G206" s="22" t="str">
        <f>IF($J$2&gt;4,ROUND(SUM(G194:G205),0),"")</f>
        <v/>
      </c>
      <c r="H206" s="101"/>
      <c r="J206" s="84" t="s">
        <v>99</v>
      </c>
      <c r="K206" s="85" t="s">
        <v>108</v>
      </c>
      <c r="L206" s="86"/>
    </row>
    <row r="207" spans="3:12" ht="18" customHeight="1">
      <c r="C207" s="9" t="s">
        <v>6</v>
      </c>
      <c r="D207" s="6" t="s">
        <v>78</v>
      </c>
      <c r="E207" s="6"/>
      <c r="F207" s="59"/>
      <c r="G207" s="34"/>
      <c r="H207" s="101"/>
      <c r="J207" s="87" t="s">
        <v>100</v>
      </c>
      <c r="K207" s="88" t="str">
        <f>IF($J$2&gt;4,K162,"")</f>
        <v/>
      </c>
      <c r="L207" s="89" t="str">
        <f>IF($J$2&gt;4,(K207/12)*2162,"")</f>
        <v/>
      </c>
    </row>
    <row r="208" spans="3:12" ht="18" customHeight="1">
      <c r="C208" s="9"/>
      <c r="D208" s="6" t="s">
        <v>84</v>
      </c>
      <c r="E208" s="6"/>
      <c r="F208" s="71">
        <v>0.41</v>
      </c>
      <c r="G208" s="22" t="str">
        <f>IF($J$2&gt;4,ROUND((F208)*SUM(G194:G202),0),"")</f>
        <v/>
      </c>
      <c r="H208" s="101"/>
      <c r="J208" s="87" t="s">
        <v>101</v>
      </c>
      <c r="K208" s="88" t="str">
        <f t="shared" ref="K208:K209" si="0">IF($J$2&gt;4,K163,"")</f>
        <v/>
      </c>
      <c r="L208" s="89" t="str">
        <f>IF($J$2&gt;4,(K208/9)*1730,"")</f>
        <v/>
      </c>
    </row>
    <row r="209" spans="2:12" ht="18" customHeight="1">
      <c r="C209" s="9"/>
      <c r="D209" s="6" t="s">
        <v>85</v>
      </c>
      <c r="E209" s="6"/>
      <c r="F209" s="69">
        <v>7.6499999999999999E-2</v>
      </c>
      <c r="G209" s="22" t="str">
        <f>IF($J$2&gt;4,ROUND(F209*G205,0),"")</f>
        <v/>
      </c>
      <c r="H209" s="101"/>
      <c r="J209" s="87" t="s">
        <v>102</v>
      </c>
      <c r="K209" s="88" t="str">
        <f t="shared" si="0"/>
        <v/>
      </c>
      <c r="L209" s="89" t="str">
        <f>IF($J$2&gt;4,(K209/3)*432,"")</f>
        <v/>
      </c>
    </row>
    <row r="210" spans="2:12" ht="18" customHeight="1">
      <c r="C210" s="9"/>
      <c r="D210" s="6" t="s">
        <v>103</v>
      </c>
      <c r="E210" s="6"/>
      <c r="F210" s="69"/>
      <c r="G210" s="22" t="str">
        <f>IF($J$2&gt;4,L210,"")</f>
        <v/>
      </c>
      <c r="H210" s="101"/>
      <c r="J210" s="86"/>
      <c r="K210" s="86"/>
      <c r="L210" s="89" t="str">
        <f>IF($J$2&gt;4,SUM(L207:L209),"")</f>
        <v/>
      </c>
    </row>
    <row r="211" spans="2:12" ht="18" customHeight="1">
      <c r="C211" s="9" t="s">
        <v>7</v>
      </c>
      <c r="D211" s="6" t="s">
        <v>79</v>
      </c>
      <c r="E211" s="6"/>
      <c r="F211" s="69"/>
      <c r="G211" s="22" t="str">
        <f>IF($J$2&gt;4,ROUND(SUM(G208:G210),0),"")</f>
        <v/>
      </c>
      <c r="H211" s="101"/>
    </row>
    <row r="212" spans="2:12" ht="18" customHeight="1">
      <c r="C212" s="9" t="s">
        <v>8</v>
      </c>
      <c r="D212" s="5" t="s">
        <v>38</v>
      </c>
      <c r="E212" s="6"/>
      <c r="F212" s="11"/>
      <c r="G212" s="23" t="str">
        <f>IF($J$2&gt;4,ROUND(SUM(G206+G211),0),"")</f>
        <v/>
      </c>
      <c r="H212" s="101"/>
    </row>
    <row r="213" spans="2:12" ht="18" customHeight="1">
      <c r="C213" s="8" t="s">
        <v>9</v>
      </c>
      <c r="D213" s="5" t="s">
        <v>28</v>
      </c>
      <c r="E213" s="6"/>
      <c r="F213" s="13"/>
      <c r="G213" s="22" t="str">
        <f>IF($J$2&gt;4,ROUND(SUM(G167+(G167*$J$12)),0),"")</f>
        <v/>
      </c>
      <c r="H213" s="101"/>
      <c r="L213" s="45" t="s">
        <v>61</v>
      </c>
    </row>
    <row r="214" spans="2:12" ht="18" customHeight="1">
      <c r="C214" s="14" t="s">
        <v>10</v>
      </c>
      <c r="D214" s="15" t="s">
        <v>19</v>
      </c>
      <c r="E214" s="2"/>
      <c r="F214" s="11"/>
      <c r="G214" s="22" t="str">
        <f>IF($J$2&gt;4,ROUND(SUM(G168+(G168*$J$12)),0),"")</f>
        <v/>
      </c>
      <c r="H214" s="101"/>
      <c r="J214" s="46" t="s">
        <v>55</v>
      </c>
      <c r="L214" s="45" t="s">
        <v>62</v>
      </c>
    </row>
    <row r="215" spans="2:12" ht="18" customHeight="1">
      <c r="C215" s="9" t="s">
        <v>11</v>
      </c>
      <c r="D215" s="16" t="s">
        <v>34</v>
      </c>
      <c r="E215" s="6"/>
      <c r="F215" s="11"/>
      <c r="G215" s="22" t="str">
        <f>IF($J$2&gt;4,ROUND(SUM(G169+(G169*$J$12)),0),"")</f>
        <v/>
      </c>
      <c r="H215" s="101"/>
      <c r="J215" s="46" t="s">
        <v>56</v>
      </c>
      <c r="K215" s="44" t="s">
        <v>60</v>
      </c>
      <c r="L215" s="45" t="s">
        <v>63</v>
      </c>
    </row>
    <row r="216" spans="2:12" ht="18" customHeight="1">
      <c r="C216" s="9" t="s">
        <v>12</v>
      </c>
      <c r="D216" s="16" t="s">
        <v>35</v>
      </c>
      <c r="E216" s="6"/>
      <c r="F216" s="11"/>
      <c r="G216" s="35"/>
      <c r="H216" s="101"/>
      <c r="J216" s="38" t="s">
        <v>50</v>
      </c>
      <c r="K216" s="41"/>
      <c r="L216" s="47">
        <f>IF(K216+L35+L79+L125+L169&gt;=25000,25000-(L35+L79+L125+L169),K216)</f>
        <v>0</v>
      </c>
    </row>
    <row r="217" spans="2:12" ht="18" customHeight="1">
      <c r="C217" s="26"/>
      <c r="D217" s="16" t="s">
        <v>39</v>
      </c>
      <c r="E217" s="6"/>
      <c r="F217" s="11"/>
      <c r="G217" s="23" t="str">
        <f>IF($J$2&gt;4,SUM(K216:K219),"")</f>
        <v/>
      </c>
      <c r="H217" s="101"/>
      <c r="J217" s="39" t="s">
        <v>51</v>
      </c>
      <c r="K217" s="42"/>
      <c r="L217" s="47">
        <f>IF(K217+L36+L80+L126+L170&gt;=25000,25000-(L36+L80+L126+L170),K217)</f>
        <v>0</v>
      </c>
    </row>
    <row r="218" spans="2:12" ht="18" customHeight="1">
      <c r="C218" s="9"/>
      <c r="D218" s="16" t="s">
        <v>40</v>
      </c>
      <c r="E218" s="6"/>
      <c r="F218" s="11"/>
      <c r="G218" s="22" t="str">
        <f>IF($J$2&gt;4,ROUND(SUM(G172+(G172*$J$12)),0),"")</f>
        <v/>
      </c>
      <c r="H218" s="101"/>
      <c r="J218" s="39" t="s">
        <v>52</v>
      </c>
      <c r="K218" s="42"/>
      <c r="L218" s="47">
        <f>IF(K218+L37+L81+L127+L171&gt;=25000,25000-(L37+L81+L127+L171),K218)</f>
        <v>0</v>
      </c>
    </row>
    <row r="219" spans="2:12" ht="18" customHeight="1">
      <c r="B219" s="62"/>
      <c r="C219" s="9"/>
      <c r="D219" s="16" t="s">
        <v>77</v>
      </c>
      <c r="E219" s="6"/>
      <c r="F219" s="11"/>
      <c r="G219" s="22" t="str">
        <f>IF($J$2&gt;4,ROUND(SUM(G173+(G173*$J$12)),0),"")</f>
        <v/>
      </c>
      <c r="H219" s="101"/>
      <c r="J219" s="40" t="s">
        <v>53</v>
      </c>
      <c r="K219" s="43"/>
      <c r="L219" s="47">
        <f>IF(K219+L38+L82+L128+L172&gt;=25000,25000-(L38+L82+L128+L172),K219)</f>
        <v>0</v>
      </c>
    </row>
    <row r="220" spans="2:12" ht="18" customHeight="1">
      <c r="B220" s="31"/>
      <c r="C220" s="9" t="s">
        <v>13</v>
      </c>
      <c r="D220" s="16" t="s">
        <v>36</v>
      </c>
      <c r="E220" s="6"/>
      <c r="F220" s="11"/>
      <c r="G220" s="22" t="str">
        <f>IF($J$2&gt;4,ROUND(SUM(G174+(G174*$J$12)),0),"")</f>
        <v/>
      </c>
      <c r="H220" s="101"/>
    </row>
    <row r="221" spans="2:12" ht="18" customHeight="1">
      <c r="B221" s="31"/>
      <c r="C221" s="9" t="s">
        <v>14</v>
      </c>
      <c r="D221" s="6" t="s">
        <v>18</v>
      </c>
      <c r="E221" s="6"/>
      <c r="F221" s="11"/>
      <c r="G221" s="23"/>
      <c r="H221" s="101"/>
    </row>
    <row r="222" spans="2:12" ht="18" customHeight="1">
      <c r="B222" s="31"/>
      <c r="C222" s="9" t="s">
        <v>15</v>
      </c>
      <c r="D222" s="6" t="s">
        <v>95</v>
      </c>
      <c r="E222" s="6"/>
      <c r="F222" s="11"/>
      <c r="G222" s="22" t="str">
        <f>IF($J$2&gt;4,ROUND(SUM(G176+(G176*$J$12)),0),"")</f>
        <v/>
      </c>
      <c r="H222" s="101"/>
    </row>
    <row r="223" spans="2:12" ht="18" customHeight="1">
      <c r="B223" s="62"/>
      <c r="C223" s="9" t="s">
        <v>76</v>
      </c>
      <c r="D223" s="64" t="s">
        <v>89</v>
      </c>
      <c r="E223" s="72"/>
      <c r="F223" s="73">
        <v>0.38</v>
      </c>
      <c r="G223" s="23" t="str">
        <f>IF($J$2&gt;4,ROUND(G203*F223,0),"")</f>
        <v/>
      </c>
      <c r="H223" s="102"/>
    </row>
    <row r="224" spans="2:12" ht="18" customHeight="1">
      <c r="B224" s="63"/>
      <c r="C224" s="12" t="s">
        <v>80</v>
      </c>
      <c r="D224" s="2" t="s">
        <v>29</v>
      </c>
      <c r="E224" s="2"/>
      <c r="F224" s="17"/>
      <c r="G224" s="22" t="str">
        <f>IF($J$2&gt;4,SUM(G212:G223),"")</f>
        <v/>
      </c>
      <c r="H224" s="102"/>
    </row>
    <row r="225" spans="1:9" ht="18" customHeight="1">
      <c r="A225" s="63"/>
      <c r="B225" s="68"/>
      <c r="C225" s="9" t="s">
        <v>81</v>
      </c>
      <c r="D225" s="6" t="s">
        <v>41</v>
      </c>
      <c r="E225" s="6"/>
      <c r="F225" s="2"/>
      <c r="G225" s="35"/>
      <c r="H225" s="68"/>
    </row>
    <row r="226" spans="1:9" ht="18" customHeight="1">
      <c r="A226" s="63"/>
      <c r="B226" s="76"/>
      <c r="C226" s="37" t="s">
        <v>42</v>
      </c>
      <c r="D226" s="27">
        <f>D42</f>
        <v>0.5</v>
      </c>
      <c r="E226" s="28" t="s">
        <v>43</v>
      </c>
      <c r="F226" s="29" t="str">
        <f>IF($J$2&gt;4,(IF($L$216&gt;25000,"25000",$L$216)+IF($L$217&gt;25000,"25000",$L$217)+IF($L$218&gt;25000,"25000",$L$218)+IF($L$219&gt;25000,"25000",$L$219)+$G$224-$G$217-$G$221-$G$223-$G$222),"")</f>
        <v/>
      </c>
      <c r="G226" s="22" t="str">
        <f>IF($J$2&gt;4,((ROUND((((G194*$F$208)+(G194))*$D$226),0))+(ROUND((((G195*$F$208)+(G195))*$D$226),0))+(ROUND((((G196*$F$208)+(G196))*$D$226),0))+(ROUND((((G197*$F$208)+(G197))*$D$226),0))+(ROUND((((G198*$F$208)+(G198))*$D$226),0))+(ROUND((((G199*$F$208)+(G199))*$D$226),0))+(ROUND((((G201*$F$208)+(G201))*$D$226),0))+(ROUND((((G202*$F$208)+(G202))*$D$226),0))+(ROUND((((G210)+(G203))*$D$226),0))+(ROUND(((G204)*$D$226),0))+(ROUND((((G205*$F$209)+(G205))*$D$226),0))+(ROUND(((G213)*$D$226),0))+(ROUND(((G214)*$D$226),0))+(ROUND(((G215)*$D$226),0))+(ROUND(((IF($L$216&gt;25000,"25000",$L$216)+IF($L$217&gt;25000,"25000",$L$217)+IF($L$218&gt;25000,"25000",$L$218)+IF($L$219&gt;25000,"25000",$L$219))*$D$226),0))+(ROUND(((G218)*$D$226),0))+(ROUND(((G219)*$D$226),0))+(ROUND(((G220)*$D$226),0))),"")</f>
        <v/>
      </c>
      <c r="H226" s="76"/>
    </row>
    <row r="227" spans="1:9" ht="18" customHeight="1" thickBot="1">
      <c r="A227" s="63"/>
      <c r="B227" s="76"/>
      <c r="C227" s="36" t="s">
        <v>94</v>
      </c>
      <c r="D227" s="18" t="s">
        <v>32</v>
      </c>
      <c r="E227" s="19"/>
      <c r="F227" s="20"/>
      <c r="G227" s="24" t="str">
        <f>IF($J$2&gt;4,SUM(G224:G226),"")</f>
        <v/>
      </c>
      <c r="H227" s="76"/>
      <c r="I227" s="68"/>
    </row>
    <row r="228" spans="1:9" ht="18" customHeight="1">
      <c r="A228" s="63" t="s">
        <v>92</v>
      </c>
      <c r="C228" s="2"/>
      <c r="D228" s="21"/>
      <c r="E228" s="2"/>
      <c r="F228" s="2"/>
      <c r="G228" s="2"/>
      <c r="H228" s="79"/>
      <c r="I228" s="76"/>
    </row>
    <row r="229" spans="1:9" ht="18" customHeight="1">
      <c r="A229" s="63"/>
      <c r="B229" s="63" t="s">
        <v>93</v>
      </c>
      <c r="C229" s="2"/>
      <c r="D229" s="21"/>
      <c r="E229" s="2"/>
      <c r="F229" s="2"/>
      <c r="G229" s="2"/>
      <c r="H229" s="21"/>
      <c r="I229" s="76"/>
    </row>
    <row r="230" spans="1:9" ht="18" customHeight="1">
      <c r="A230" s="63"/>
      <c r="B230" s="63"/>
      <c r="C230" s="2"/>
      <c r="D230" s="21"/>
      <c r="E230" s="2"/>
      <c r="F230" s="2"/>
      <c r="G230" s="2"/>
      <c r="H230" s="21"/>
      <c r="I230" s="76"/>
    </row>
    <row r="231" spans="1:9" ht="18" customHeight="1">
      <c r="A231" s="98" t="s">
        <v>16</v>
      </c>
      <c r="B231" s="98"/>
      <c r="C231" s="98"/>
      <c r="D231" s="98"/>
      <c r="E231" s="98"/>
      <c r="F231" s="98"/>
      <c r="G231" s="98"/>
      <c r="H231" s="98"/>
      <c r="I231" s="98"/>
    </row>
    <row r="232" spans="1:9" ht="18" customHeight="1">
      <c r="A232" s="97" t="s">
        <v>20</v>
      </c>
      <c r="B232" s="97"/>
      <c r="C232" s="97"/>
      <c r="D232" s="97"/>
      <c r="E232" s="97"/>
      <c r="F232" s="97"/>
      <c r="G232" s="97"/>
      <c r="H232" s="97"/>
      <c r="I232" s="97"/>
    </row>
    <row r="233" spans="1:9" ht="18" customHeight="1">
      <c r="A233" s="97" t="s">
        <v>49</v>
      </c>
      <c r="B233" s="97"/>
      <c r="C233" s="97"/>
      <c r="D233" s="97"/>
      <c r="E233" s="97"/>
      <c r="F233" s="97"/>
      <c r="G233" s="97"/>
      <c r="H233" s="97"/>
      <c r="I233" s="97"/>
    </row>
    <row r="234" spans="1:9" ht="18" customHeight="1">
      <c r="A234" s="4" t="s">
        <v>22</v>
      </c>
      <c r="D234" s="96" t="str">
        <f>D4</f>
        <v>(Insert project title here.  Sheet will auto-fill on subsequent years/composite)</v>
      </c>
      <c r="E234" s="96"/>
      <c r="F234" s="96"/>
      <c r="G234" s="96"/>
      <c r="H234" s="96"/>
    </row>
    <row r="235" spans="1:9" ht="18" customHeight="1">
      <c r="A235" s="50" t="s">
        <v>21</v>
      </c>
      <c r="C235" s="4"/>
      <c r="D235" s="83" t="str">
        <f>D5</f>
        <v>(Insert investigator(s) here.  Sheet will auto-fill on subsequent years/composite)</v>
      </c>
      <c r="E235" s="83"/>
      <c r="F235" s="83"/>
      <c r="G235" s="83"/>
      <c r="H235" s="75"/>
    </row>
    <row r="236" spans="1:9" ht="18" customHeight="1"/>
    <row r="237" spans="1:9" ht="18" customHeight="1" thickBot="1"/>
    <row r="238" spans="1:9" ht="18" customHeight="1" thickBot="1">
      <c r="C238" s="7"/>
      <c r="D238" s="7"/>
      <c r="E238" s="7"/>
      <c r="F238" s="7"/>
      <c r="G238" s="33" t="s">
        <v>23</v>
      </c>
    </row>
    <row r="239" spans="1:9" ht="18" customHeight="1">
      <c r="C239" s="8" t="s">
        <v>0</v>
      </c>
      <c r="D239" s="2" t="s">
        <v>74</v>
      </c>
      <c r="E239" s="5"/>
      <c r="F239" s="5"/>
      <c r="G239" s="34"/>
    </row>
    <row r="240" spans="1:9" ht="18" customHeight="1">
      <c r="C240" s="9"/>
      <c r="D240" s="10" t="s">
        <v>1</v>
      </c>
      <c r="E240" s="6" t="str">
        <f>IF(E10=""," ",E10)</f>
        <v xml:space="preserve"> </v>
      </c>
      <c r="F240" s="11"/>
      <c r="G240" s="22">
        <f>G10+IF($J$2&gt;1,G56,0)+IF($J$2&gt;2,G102,0)+IF($J$2&gt;3,G148,0)+IF($J$2&gt;4,G194,0)</f>
        <v>0</v>
      </c>
    </row>
    <row r="241" spans="3:7" ht="18" customHeight="1">
      <c r="C241" s="9"/>
      <c r="D241" s="10" t="s">
        <v>2</v>
      </c>
      <c r="E241" s="6" t="str">
        <f>IF(E11=""," ",E11)</f>
        <v xml:space="preserve"> </v>
      </c>
      <c r="F241" s="11"/>
      <c r="G241" s="22">
        <f>G11+IF($J$2&gt;1,G57,0)+IF($J$2&gt;2,G103,0)+IF($J$2&gt;3,G149,0)+IF($J$2&gt;4,G195,0)</f>
        <v>0</v>
      </c>
    </row>
    <row r="242" spans="3:7" ht="18" customHeight="1">
      <c r="C242" s="9"/>
      <c r="D242" s="10" t="s">
        <v>3</v>
      </c>
      <c r="E242" s="6" t="str">
        <f>IF(E12=""," ",E12)</f>
        <v xml:space="preserve"> </v>
      </c>
      <c r="F242" s="11"/>
      <c r="G242" s="22">
        <f>G12+IF($J$2&gt;1,G58,0)+IF($J$2&gt;2,G104,0)+IF($J$2&gt;3,G150,0)+IF($J$2&gt;4,G196,0)</f>
        <v>0</v>
      </c>
    </row>
    <row r="243" spans="3:7" ht="18" customHeight="1">
      <c r="C243" s="9"/>
      <c r="D243" s="10" t="s">
        <v>4</v>
      </c>
      <c r="E243" s="6" t="str">
        <f>IF(E13=""," ",E13)</f>
        <v xml:space="preserve"> </v>
      </c>
      <c r="F243" s="11"/>
      <c r="G243" s="22">
        <f>G13+IF($J$2&gt;1,G59,0)+IF($J$2&gt;2,G105,0)+IF($J$2&gt;3,G151,0)+IF($J$2&gt;4,G197,0)</f>
        <v>0</v>
      </c>
    </row>
    <row r="244" spans="3:7" ht="18" customHeight="1">
      <c r="C244" s="9"/>
      <c r="D244" s="10" t="s">
        <v>24</v>
      </c>
      <c r="E244" s="6" t="str">
        <f>IF(E14=""," ",E14)</f>
        <v xml:space="preserve"> </v>
      </c>
      <c r="F244" s="11"/>
      <c r="G244" s="22">
        <f>G14+IF($J$2&gt;1,G60,0)+IF($J$2&gt;2,G106,0)+IF($J$2&gt;3,G152,0)+IF($J$2&gt;4,G198,0)</f>
        <v>0</v>
      </c>
    </row>
    <row r="245" spans="3:7" ht="18" customHeight="1">
      <c r="C245" s="9"/>
      <c r="D245" s="10" t="s">
        <v>25</v>
      </c>
      <c r="E245" s="6" t="s">
        <v>48</v>
      </c>
      <c r="F245" s="11"/>
      <c r="G245" s="22">
        <f>G15+IF($J$2&gt;1,G61,0)+IF($J$2&gt;2,G107,0)+IF($J$2&gt;3,G153,0)+IF($J$2&gt;4,G199,0)</f>
        <v>0</v>
      </c>
    </row>
    <row r="246" spans="3:7" ht="18" customHeight="1">
      <c r="C246" s="9" t="s">
        <v>33</v>
      </c>
      <c r="D246" s="64" t="s">
        <v>75</v>
      </c>
      <c r="E246" s="6"/>
      <c r="F246" s="11"/>
      <c r="G246" s="34"/>
    </row>
    <row r="247" spans="3:7" ht="18" customHeight="1">
      <c r="C247" s="9"/>
      <c r="D247" s="25" t="s">
        <v>1</v>
      </c>
      <c r="E247" s="6" t="s">
        <v>30</v>
      </c>
      <c r="F247" s="11"/>
      <c r="G247" s="22">
        <f>G17+IF($J$2&gt;1,G63,0)+IF($J$2&gt;2,G109,0)+IF($J$2&gt;3,G155,0)+IF($J$2&gt;4,G201,0)</f>
        <v>0</v>
      </c>
    </row>
    <row r="248" spans="3:7" ht="18" customHeight="1">
      <c r="C248" s="9"/>
      <c r="D248" s="10" t="s">
        <v>2</v>
      </c>
      <c r="E248" s="6" t="s">
        <v>31</v>
      </c>
      <c r="F248" s="11"/>
      <c r="G248" s="22">
        <f>G18+IF($J$2&gt;1,G64,0)+IF($J$2&gt;2,G110,0)+IF($J$2&gt;3,G156,0)+IF($J$2&gt;4,G202,0)</f>
        <v>0</v>
      </c>
    </row>
    <row r="249" spans="3:7" ht="18" customHeight="1">
      <c r="C249" s="9"/>
      <c r="D249" s="10" t="s">
        <v>3</v>
      </c>
      <c r="E249" s="6" t="s">
        <v>26</v>
      </c>
      <c r="F249" s="5"/>
      <c r="G249" s="22">
        <f>G19+IF($J$2&gt;1,G65,0)+IF($J$2&gt;2,G111,0)+IF($J$2&gt;3,G157,0)+IF($J$2&gt;4,G203,0)</f>
        <v>0</v>
      </c>
    </row>
    <row r="250" spans="3:7" ht="18" customHeight="1">
      <c r="C250" s="9"/>
      <c r="D250" s="10" t="s">
        <v>4</v>
      </c>
      <c r="E250" s="6" t="s">
        <v>27</v>
      </c>
      <c r="F250" s="6"/>
      <c r="G250" s="22">
        <f>G20+IF($J$2&gt;1,G66,0)+IF($J$2&gt;2,G112,0)+IF($J$2&gt;3,G158,0)+IF($J$2&gt;4,G204,0)</f>
        <v>0</v>
      </c>
    </row>
    <row r="251" spans="3:7" ht="18" customHeight="1">
      <c r="C251" s="8"/>
      <c r="D251" s="65" t="s">
        <v>24</v>
      </c>
      <c r="E251" s="5" t="s">
        <v>82</v>
      </c>
      <c r="F251" s="5"/>
      <c r="G251" s="22">
        <f>G21+IF($J$2&gt;1,G67,0)+IF($J$2&gt;2,G113,0)+IF($J$2&gt;3,G159,0)+IF($J$2&gt;4,G205,0)</f>
        <v>0</v>
      </c>
    </row>
    <row r="252" spans="3:7" ht="18" customHeight="1">
      <c r="C252" s="9" t="s">
        <v>5</v>
      </c>
      <c r="D252" s="6" t="s">
        <v>37</v>
      </c>
      <c r="E252" s="6"/>
      <c r="F252" s="5"/>
      <c r="G252" s="22">
        <f>G22+IF($J$2&gt;1,G68,0)+IF($J$2&gt;2,G114,0)+IF($J$2&gt;3,G160,0)+IF($J$2&gt;4,G206,0)</f>
        <v>0</v>
      </c>
    </row>
    <row r="253" spans="3:7" ht="18" customHeight="1">
      <c r="C253" s="9" t="s">
        <v>6</v>
      </c>
      <c r="D253" s="6" t="s">
        <v>78</v>
      </c>
      <c r="E253" s="6"/>
      <c r="F253" s="59"/>
      <c r="G253" s="34"/>
    </row>
    <row r="254" spans="3:7" ht="18" customHeight="1">
      <c r="C254" s="9"/>
      <c r="D254" s="6" t="s">
        <v>87</v>
      </c>
      <c r="E254" s="6"/>
      <c r="F254" s="59"/>
      <c r="G254" s="22">
        <f>G24+IF($J$2&gt;1,G70,0)+IF($J$2&gt;2,G116,0)+IF($J$2&gt;3,G162,0)+IF($J$2&gt;4,G208,0)</f>
        <v>0</v>
      </c>
    </row>
    <row r="255" spans="3:7" ht="18" customHeight="1">
      <c r="C255" s="9"/>
      <c r="D255" s="6" t="s">
        <v>86</v>
      </c>
      <c r="E255" s="6"/>
      <c r="F255" s="69"/>
      <c r="G255" s="22">
        <f>G25+IF($J$2&gt;1,G71,0)+IF($J$2&gt;2,G117,0)+IF($J$2&gt;3,G163,0)+IF($J$2&gt;4,G209,0)</f>
        <v>0</v>
      </c>
    </row>
    <row r="256" spans="3:7" ht="18" customHeight="1">
      <c r="C256" s="9"/>
      <c r="D256" s="6" t="s">
        <v>103</v>
      </c>
      <c r="E256" s="6"/>
      <c r="F256" s="69"/>
      <c r="G256" s="22">
        <f>G26+IF($J$2&gt;1,G72,0)+IF($J$2&gt;2,G118,0)+IF($J$2&gt;3,G164,0)+IF($J$2&gt;4,G210,0)</f>
        <v>0</v>
      </c>
    </row>
    <row r="257" spans="2:11" ht="18" customHeight="1">
      <c r="C257" s="9" t="s">
        <v>7</v>
      </c>
      <c r="D257" s="6" t="s">
        <v>79</v>
      </c>
      <c r="E257" s="6"/>
      <c r="F257" s="69"/>
      <c r="G257" s="22">
        <f>G27+IF($J$2&gt;1,G73,0)+IF($J$2&gt;2,G119,0)+IF($J$2&gt;3,G165,0)+IF($J$2&gt;4,G211,0)</f>
        <v>0</v>
      </c>
    </row>
    <row r="258" spans="2:11" ht="18" customHeight="1">
      <c r="C258" s="9" t="s">
        <v>8</v>
      </c>
      <c r="D258" s="5" t="s">
        <v>38</v>
      </c>
      <c r="E258" s="6"/>
      <c r="F258" s="11"/>
      <c r="G258" s="23">
        <f>G28+IF($J$2&gt;1,G74,0)+IF($J$2&gt;2,G120,0)+IF($J$2&gt;3,G166,0)+IF($J$2&gt;4,G212,0)</f>
        <v>0</v>
      </c>
    </row>
    <row r="259" spans="2:11" ht="18" customHeight="1">
      <c r="C259" s="8" t="s">
        <v>9</v>
      </c>
      <c r="D259" s="5" t="s">
        <v>28</v>
      </c>
      <c r="E259" s="6"/>
      <c r="F259" s="13"/>
      <c r="G259" s="22">
        <f>G29+IF($J$2&gt;1,G75,0)+IF($J$2&gt;2,G121,0)+IF($J$2&gt;3,G167,0)+IF($J$2&gt;4,G213,0)</f>
        <v>0</v>
      </c>
    </row>
    <row r="260" spans="2:11" ht="18" customHeight="1">
      <c r="C260" s="14" t="s">
        <v>10</v>
      </c>
      <c r="D260" s="15" t="s">
        <v>19</v>
      </c>
      <c r="E260" s="2"/>
      <c r="F260" s="11"/>
      <c r="G260" s="22">
        <f>G30+IF($J$2&gt;1,G76,0)+IF($J$2&gt;2,G122,0)+IF($J$2&gt;3,G168,0)+IF($J$2&gt;4,G214,0)</f>
        <v>0</v>
      </c>
    </row>
    <row r="261" spans="2:11" ht="18" customHeight="1">
      <c r="C261" s="9" t="s">
        <v>11</v>
      </c>
      <c r="D261" s="16" t="s">
        <v>34</v>
      </c>
      <c r="E261" s="6"/>
      <c r="F261" s="11"/>
      <c r="G261" s="22">
        <f>G31+IF($J$2&gt;1,G77,0)+IF($J$2&gt;2,G123,0)+IF($J$2&gt;3,G169,0)+IF($J$2&gt;4,G215,0)</f>
        <v>0</v>
      </c>
    </row>
    <row r="262" spans="2:11" ht="18" customHeight="1">
      <c r="C262" s="9" t="s">
        <v>12</v>
      </c>
      <c r="D262" s="16" t="s">
        <v>35</v>
      </c>
      <c r="E262" s="6"/>
      <c r="F262" s="11"/>
      <c r="G262" s="35"/>
    </row>
    <row r="263" spans="2:11" ht="18" customHeight="1">
      <c r="C263" s="26"/>
      <c r="D263" s="16" t="s">
        <v>39</v>
      </c>
      <c r="E263" s="6"/>
      <c r="F263" s="11"/>
      <c r="G263" s="23">
        <f>G33+IF($J$2&gt;1,G79,0)+IF($J$2&gt;2,G125,0)+IF($J$2&gt;3,G171,0)+IF($J$2&gt;4,G217,0)</f>
        <v>0</v>
      </c>
      <c r="J263" s="46" t="s">
        <v>110</v>
      </c>
    </row>
    <row r="264" spans="2:11" ht="18" customHeight="1">
      <c r="B264" s="62"/>
      <c r="C264" s="9"/>
      <c r="D264" s="16" t="s">
        <v>40</v>
      </c>
      <c r="E264" s="6"/>
      <c r="F264" s="11"/>
      <c r="G264" s="22">
        <f>G34+IF($J$2&gt;1,G80,0)+IF($J$2&gt;2,G126,0)+IF($J$2&gt;3,G172,0)+IF($J$2&gt;4,G218,0)</f>
        <v>0</v>
      </c>
      <c r="J264" s="46" t="s">
        <v>56</v>
      </c>
      <c r="K264" s="44" t="s">
        <v>111</v>
      </c>
    </row>
    <row r="265" spans="2:11" ht="18" customHeight="1">
      <c r="C265" s="9"/>
      <c r="D265" s="16" t="s">
        <v>77</v>
      </c>
      <c r="E265" s="6"/>
      <c r="F265" s="11"/>
      <c r="G265" s="22">
        <f>G35+IF($J$2&gt;1,G81,0)+IF($J$2&gt;2,G127,0)+IF($J$2&gt;3,G173,0)+IF($J$2&gt;4,G219,0)</f>
        <v>0</v>
      </c>
      <c r="J265" s="94" t="s">
        <v>50</v>
      </c>
      <c r="K265" s="95">
        <f>SUM(K35,K79,K125,K169,K216)</f>
        <v>0</v>
      </c>
    </row>
    <row r="266" spans="2:11" ht="18" customHeight="1">
      <c r="C266" s="9" t="s">
        <v>13</v>
      </c>
      <c r="D266" s="16" t="s">
        <v>36</v>
      </c>
      <c r="E266" s="6"/>
      <c r="F266" s="11"/>
      <c r="G266" s="22">
        <f>G36+IF($J$2&gt;1,G82,0)+IF($J$2&gt;2,G128,0)+IF($J$2&gt;3,G174,0)+IF($J$2&gt;4,G220,0)</f>
        <v>0</v>
      </c>
      <c r="J266" s="94" t="s">
        <v>51</v>
      </c>
      <c r="K266" s="95">
        <f t="shared" ref="K266:K268" si="1">SUM(K36,K80,K126,K170,K217)</f>
        <v>0</v>
      </c>
    </row>
    <row r="267" spans="2:11" ht="18" customHeight="1">
      <c r="C267" s="9" t="s">
        <v>14</v>
      </c>
      <c r="D267" s="6" t="s">
        <v>18</v>
      </c>
      <c r="E267" s="6"/>
      <c r="F267" s="11"/>
      <c r="G267" s="23">
        <f>G37+IF($J$2&gt;1,G83,0)+IF($J$2&gt;2,G129,0)+IF($J$2&gt;3,G175,0)+IF($J$2&gt;4,G221,0)</f>
        <v>0</v>
      </c>
      <c r="J267" s="94" t="s">
        <v>52</v>
      </c>
      <c r="K267" s="95">
        <f t="shared" si="1"/>
        <v>0</v>
      </c>
    </row>
    <row r="268" spans="2:11" ht="18" customHeight="1">
      <c r="B268" s="62"/>
      <c r="C268" s="9" t="s">
        <v>15</v>
      </c>
      <c r="D268" s="6" t="s">
        <v>95</v>
      </c>
      <c r="E268" s="6"/>
      <c r="F268" s="11"/>
      <c r="G268" s="22">
        <f>G38+IF($J$2&gt;1,G84,0)+IF($J$2&gt;2,G130,0)+IF($J$2&gt;3,G176,0)+IF($J$2&gt;4,G222,0)</f>
        <v>0</v>
      </c>
      <c r="J268" s="94" t="s">
        <v>53</v>
      </c>
      <c r="K268" s="95">
        <f t="shared" si="1"/>
        <v>0</v>
      </c>
    </row>
    <row r="269" spans="2:11" ht="18" customHeight="1">
      <c r="B269" s="63"/>
      <c r="C269" s="9" t="s">
        <v>76</v>
      </c>
      <c r="D269" s="64" t="s">
        <v>88</v>
      </c>
      <c r="E269" s="72"/>
      <c r="F269" s="70"/>
      <c r="G269" s="23">
        <f>G39+IF($J$2&gt;1,G85,0)+IF($J$2&gt;2,G131,0)+IF($J$2&gt;3,G177,0)+IF($J$2&gt;4,G223,0)</f>
        <v>0</v>
      </c>
    </row>
    <row r="270" spans="2:11" ht="18" customHeight="1">
      <c r="C270" s="12" t="s">
        <v>80</v>
      </c>
      <c r="D270" s="2" t="s">
        <v>29</v>
      </c>
      <c r="E270" s="2"/>
      <c r="F270" s="17"/>
      <c r="G270" s="22">
        <f>G40+IF($J$2&gt;1,G86,0)+IF($J$2&gt;2,G132,0)+IF($J$2&gt;3,G178,0)+IF($J$2&gt;4,G224,0)</f>
        <v>0</v>
      </c>
    </row>
    <row r="271" spans="2:11" ht="18" customHeight="1">
      <c r="C271" s="9" t="s">
        <v>81</v>
      </c>
      <c r="D271" s="6" t="s">
        <v>41</v>
      </c>
      <c r="E271" s="6"/>
      <c r="F271" s="17"/>
      <c r="G271" s="35"/>
    </row>
    <row r="272" spans="2:11" ht="18" customHeight="1">
      <c r="C272" s="37" t="s">
        <v>42</v>
      </c>
      <c r="D272" s="27">
        <f>D42</f>
        <v>0.5</v>
      </c>
      <c r="E272" s="28" t="s">
        <v>43</v>
      </c>
      <c r="F272" s="29">
        <f>F42+IF($J$2&gt;1,F88,0)+IF($J$2&gt;2,F134,0)+IF($J$2&gt;3,F180,0)+IF($J$2&gt;4,F226,0)</f>
        <v>0</v>
      </c>
      <c r="G272" s="22">
        <f>G42+IF($J$2&gt;1,G88,0)+IF($J$2&gt;2,G134,0)+IF($J$2&gt;3,G180,0)+IF($J$2&gt;4,G226,0)</f>
        <v>0</v>
      </c>
    </row>
    <row r="273" spans="1:7" ht="18" customHeight="1" thickBot="1">
      <c r="A273" s="63"/>
      <c r="C273" s="36" t="s">
        <v>94</v>
      </c>
      <c r="D273" s="18" t="s">
        <v>32</v>
      </c>
      <c r="E273" s="19"/>
      <c r="F273" s="20"/>
      <c r="G273" s="24">
        <f>G43+IF($J$2&gt;1,G89,0)+IF($J$2&gt;2,G135,0)+IF($J$2&gt;3,G181,0)+IF($J$2&gt;4,G227,0)</f>
        <v>0</v>
      </c>
    </row>
    <row r="274" spans="1:7" ht="13.8">
      <c r="A274" s="63" t="s">
        <v>92</v>
      </c>
    </row>
    <row r="275" spans="1:7" ht="13.8">
      <c r="A275" s="63"/>
      <c r="B275" s="63" t="s">
        <v>93</v>
      </c>
    </row>
    <row r="277" spans="1:7">
      <c r="C277" s="75"/>
      <c r="D277" s="75"/>
      <c r="E277" s="75"/>
      <c r="G277" s="75"/>
    </row>
    <row r="278" spans="1:7">
      <c r="C278" t="s">
        <v>96</v>
      </c>
      <c r="G278" t="s">
        <v>91</v>
      </c>
    </row>
    <row r="279" spans="1:7">
      <c r="C279" t="s">
        <v>90</v>
      </c>
    </row>
  </sheetData>
  <dataConsolidate/>
  <mergeCells count="24">
    <mergeCell ref="D188:H188"/>
    <mergeCell ref="D189:H189"/>
    <mergeCell ref="A231:I231"/>
    <mergeCell ref="A232:I232"/>
    <mergeCell ref="A233:I233"/>
    <mergeCell ref="D234:H234"/>
    <mergeCell ref="A141:I141"/>
    <mergeCell ref="D142:H142"/>
    <mergeCell ref="D143:H143"/>
    <mergeCell ref="A185:I185"/>
    <mergeCell ref="A186:I186"/>
    <mergeCell ref="A187:I187"/>
    <mergeCell ref="A94:H94"/>
    <mergeCell ref="A95:H95"/>
    <mergeCell ref="D96:H96"/>
    <mergeCell ref="D97:H97"/>
    <mergeCell ref="A139:I139"/>
    <mergeCell ref="A140:I140"/>
    <mergeCell ref="D4:H4"/>
    <mergeCell ref="A47:H47"/>
    <mergeCell ref="A48:H48"/>
    <mergeCell ref="A49:H49"/>
    <mergeCell ref="D50:H50"/>
    <mergeCell ref="A93:H93"/>
  </mergeCells>
  <dataValidations count="2">
    <dataValidation type="list" allowBlank="1" showInputMessage="1" showErrorMessage="1" sqref="J16" xr:uid="{A44D82A6-833D-4651-B8EA-E45FC1B0445E}">
      <formula1>ValidProjectTypes</formula1>
    </dataValidation>
    <dataValidation showInputMessage="1" showErrorMessage="1" sqref="J192 J55 J100 J147 J14" xr:uid="{3AE7D824-7181-49D4-9AFD-DD1083DFCC24}"/>
  </dataValidations>
  <pageMargins left="0.75" right="0.75" top="1" bottom="1" header="0.5" footer="0.5"/>
  <pageSetup scale="78" orientation="portrait" r:id="rId1"/>
  <headerFooter alignWithMargins="0"/>
  <rowBreaks count="5" manualBreakCount="5">
    <brk id="46" max="16383" man="1"/>
    <brk id="92" max="8" man="1"/>
    <brk id="138" max="8" man="1"/>
    <brk id="184" max="8" man="1"/>
    <brk id="230"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44140625" customWidth="1"/>
  </cols>
  <sheetData>
    <row r="1" spans="1:6">
      <c r="B1" s="51"/>
      <c r="C1" s="51"/>
      <c r="D1" s="51"/>
      <c r="E1" s="51"/>
    </row>
    <row r="2" spans="1:6">
      <c r="A2" s="57">
        <v>42004</v>
      </c>
      <c r="B2" s="53"/>
      <c r="C2" s="53"/>
      <c r="D2" s="53"/>
      <c r="E2" s="53"/>
      <c r="F2" t="s">
        <v>105</v>
      </c>
    </row>
    <row r="3" spans="1:6">
      <c r="A3" s="57">
        <v>42035</v>
      </c>
      <c r="B3" s="53"/>
      <c r="C3" s="53"/>
      <c r="D3" s="53"/>
      <c r="E3" s="53"/>
      <c r="F3" t="s">
        <v>68</v>
      </c>
    </row>
    <row r="4" spans="1:6">
      <c r="A4" s="57">
        <v>42063</v>
      </c>
      <c r="B4" s="53"/>
      <c r="C4" s="53"/>
      <c r="D4" s="53"/>
      <c r="E4" s="53"/>
      <c r="F4" t="s">
        <v>106</v>
      </c>
    </row>
    <row r="5" spans="1:6">
      <c r="A5" s="57">
        <v>42094</v>
      </c>
      <c r="B5" s="53"/>
      <c r="C5" s="53"/>
      <c r="D5" s="53"/>
      <c r="E5" s="53"/>
      <c r="F5" t="s">
        <v>69</v>
      </c>
    </row>
    <row r="6" spans="1:6">
      <c r="A6" s="57">
        <v>42124</v>
      </c>
      <c r="B6" s="53"/>
      <c r="C6" s="53"/>
      <c r="D6" s="53"/>
      <c r="E6" s="53"/>
      <c r="F6" t="s">
        <v>107</v>
      </c>
    </row>
    <row r="7" spans="1:6">
      <c r="A7" s="57">
        <v>42155</v>
      </c>
      <c r="B7" s="53"/>
      <c r="C7" s="53"/>
      <c r="D7" s="53"/>
      <c r="E7" s="53"/>
      <c r="F7" t="s">
        <v>70</v>
      </c>
    </row>
    <row r="8" spans="1:6">
      <c r="A8" s="57">
        <v>42185</v>
      </c>
      <c r="B8" s="53"/>
      <c r="C8" s="53"/>
      <c r="D8" s="53"/>
      <c r="E8" s="53"/>
      <c r="F8" t="s">
        <v>71</v>
      </c>
    </row>
    <row r="9" spans="1:6">
      <c r="A9" s="57">
        <v>42216</v>
      </c>
      <c r="B9" s="53"/>
      <c r="C9" s="53"/>
      <c r="D9" s="53"/>
      <c r="E9" s="53"/>
      <c r="F9" t="s">
        <v>109</v>
      </c>
    </row>
    <row r="10" spans="1:6">
      <c r="A10" s="57">
        <v>42247</v>
      </c>
      <c r="B10" s="53"/>
      <c r="C10" s="53"/>
      <c r="D10" s="53"/>
      <c r="E10" s="53"/>
    </row>
    <row r="11" spans="1:6">
      <c r="A11" s="57">
        <v>42277</v>
      </c>
      <c r="B11" s="53"/>
      <c r="C11" s="53"/>
      <c r="D11" s="53"/>
      <c r="E11" s="53"/>
    </row>
    <row r="12" spans="1:6">
      <c r="A12" s="57">
        <v>42308</v>
      </c>
      <c r="B12" s="53"/>
      <c r="C12" s="53"/>
      <c r="D12" s="53"/>
      <c r="E12" s="53"/>
    </row>
    <row r="13" spans="1:6">
      <c r="A13" s="57">
        <v>42338</v>
      </c>
      <c r="B13" s="53"/>
      <c r="C13" s="53"/>
      <c r="D13" s="53"/>
      <c r="E13" s="53"/>
    </row>
    <row r="14" spans="1:6">
      <c r="A14" s="57">
        <v>42369</v>
      </c>
      <c r="B14" s="53"/>
      <c r="C14" s="53"/>
      <c r="D14" s="53"/>
      <c r="E14" s="53"/>
    </row>
    <row r="15" spans="1:6">
      <c r="A15" s="57">
        <v>42400</v>
      </c>
      <c r="B15" s="53"/>
      <c r="C15" s="53"/>
      <c r="D15" s="53"/>
      <c r="E15" s="53"/>
    </row>
    <row r="16" spans="1:6">
      <c r="A16" s="57">
        <v>42429</v>
      </c>
      <c r="B16" s="53"/>
      <c r="C16" s="53"/>
      <c r="D16" s="53"/>
      <c r="E16" s="53"/>
    </row>
    <row r="17" spans="1:5">
      <c r="A17" s="57">
        <v>42460</v>
      </c>
      <c r="B17" s="53"/>
      <c r="C17" s="53"/>
      <c r="D17" s="53"/>
      <c r="E17" s="53"/>
    </row>
    <row r="18" spans="1:5">
      <c r="A18" s="57">
        <v>42490</v>
      </c>
      <c r="B18" s="53"/>
      <c r="C18" s="53"/>
      <c r="D18" s="53"/>
      <c r="E18" s="53"/>
    </row>
    <row r="19" spans="1:5">
      <c r="A19" s="57">
        <v>42521</v>
      </c>
      <c r="B19" s="53"/>
      <c r="C19" s="53"/>
      <c r="D19" s="53"/>
      <c r="E19" s="53"/>
    </row>
    <row r="20" spans="1:5">
      <c r="A20" s="57">
        <v>42551</v>
      </c>
      <c r="B20" s="53"/>
      <c r="C20" s="53"/>
      <c r="D20" s="53"/>
      <c r="E20" s="53"/>
    </row>
    <row r="21" spans="1:5">
      <c r="A21" s="57">
        <v>42582</v>
      </c>
      <c r="B21" s="53"/>
      <c r="C21" s="53"/>
      <c r="D21" s="53"/>
      <c r="E21" s="53"/>
    </row>
    <row r="22" spans="1:5">
      <c r="A22" s="57">
        <v>42613</v>
      </c>
      <c r="B22" s="53"/>
      <c r="C22" s="53"/>
      <c r="D22" s="53"/>
      <c r="E22" s="53"/>
    </row>
    <row r="23" spans="1:5">
      <c r="A23" s="57">
        <v>42643</v>
      </c>
      <c r="B23" s="53"/>
      <c r="C23" s="53"/>
      <c r="D23" s="53"/>
      <c r="E23" s="53"/>
    </row>
    <row r="24" spans="1:5">
      <c r="A24" s="57">
        <v>42674</v>
      </c>
      <c r="B24" s="53"/>
      <c r="C24" s="53"/>
      <c r="D24" s="53"/>
      <c r="E24" s="53"/>
    </row>
    <row r="25" spans="1:5">
      <c r="A25" s="57">
        <v>42704</v>
      </c>
      <c r="B25" s="53"/>
      <c r="C25" s="53"/>
      <c r="D25" s="53"/>
      <c r="E25" s="53"/>
    </row>
    <row r="26" spans="1:5">
      <c r="A26" s="57">
        <v>42735</v>
      </c>
      <c r="B26" s="53"/>
      <c r="C26" s="53"/>
      <c r="D26" s="53"/>
      <c r="E26" s="53"/>
    </row>
    <row r="27" spans="1:5">
      <c r="A27" s="57">
        <v>42766</v>
      </c>
      <c r="B27" s="53"/>
      <c r="C27" s="53"/>
      <c r="D27" s="53"/>
      <c r="E27" s="53"/>
    </row>
    <row r="28" spans="1:5">
      <c r="A28" s="57">
        <v>42794</v>
      </c>
      <c r="B28" s="53"/>
      <c r="C28" s="53"/>
      <c r="D28" s="53"/>
      <c r="E28" s="53"/>
    </row>
    <row r="29" spans="1:5">
      <c r="A29" s="57">
        <v>42825</v>
      </c>
      <c r="B29" s="53"/>
      <c r="C29" s="53"/>
      <c r="D29" s="53"/>
      <c r="E29" s="53"/>
    </row>
    <row r="30" spans="1:5">
      <c r="A30" s="57">
        <v>42855</v>
      </c>
      <c r="B30" s="53"/>
      <c r="C30" s="53"/>
      <c r="D30" s="53"/>
      <c r="E30" s="53"/>
    </row>
    <row r="31" spans="1:5">
      <c r="A31" s="57">
        <v>42886</v>
      </c>
      <c r="B31" s="53"/>
      <c r="C31" s="53"/>
      <c r="D31" s="53"/>
      <c r="E31" s="53"/>
    </row>
    <row r="32" spans="1:5">
      <c r="A32" s="57">
        <v>42916</v>
      </c>
      <c r="B32" s="53"/>
      <c r="C32" s="53"/>
      <c r="D32" s="53"/>
      <c r="E32" s="53"/>
    </row>
    <row r="33" spans="1:5">
      <c r="A33" s="57">
        <v>42947</v>
      </c>
      <c r="B33" s="53"/>
      <c r="C33" s="53"/>
      <c r="D33" s="53"/>
      <c r="E33" s="53"/>
    </row>
    <row r="34" spans="1:5">
      <c r="A34" s="57">
        <v>42978</v>
      </c>
      <c r="B34" s="53"/>
      <c r="C34" s="53"/>
      <c r="D34" s="53"/>
      <c r="E34" s="53"/>
    </row>
    <row r="35" spans="1:5">
      <c r="A35" s="57">
        <v>43008</v>
      </c>
      <c r="B35" s="53"/>
      <c r="C35" s="53"/>
      <c r="D35" s="53"/>
      <c r="E35" s="53"/>
    </row>
    <row r="36" spans="1:5">
      <c r="A36" s="57">
        <v>43039</v>
      </c>
      <c r="B36" s="53"/>
      <c r="C36" s="53"/>
      <c r="D36" s="53"/>
      <c r="E36" s="53"/>
    </row>
    <row r="37" spans="1:5">
      <c r="A37" s="57">
        <v>43069</v>
      </c>
      <c r="B37" s="53"/>
      <c r="C37" s="53"/>
      <c r="D37" s="53"/>
      <c r="E37" s="53"/>
    </row>
    <row r="38" spans="1:5">
      <c r="A38" s="57">
        <v>43100</v>
      </c>
      <c r="B38" s="53"/>
      <c r="C38" s="53"/>
      <c r="D38" s="53"/>
      <c r="E38" s="53"/>
    </row>
    <row r="39" spans="1:5">
      <c r="A39" s="57">
        <v>43131</v>
      </c>
      <c r="B39" s="53"/>
      <c r="C39" s="53"/>
      <c r="D39" s="53"/>
      <c r="E39" s="53"/>
    </row>
    <row r="40" spans="1:5">
      <c r="A40" s="57">
        <v>43159</v>
      </c>
      <c r="B40" s="53"/>
      <c r="C40" s="53"/>
      <c r="D40" s="53"/>
      <c r="E40" s="53"/>
    </row>
    <row r="41" spans="1:5">
      <c r="A41" s="57">
        <v>43190</v>
      </c>
      <c r="B41" s="53"/>
      <c r="C41" s="53"/>
      <c r="D41" s="53"/>
      <c r="E41" s="53"/>
    </row>
    <row r="42" spans="1:5">
      <c r="A42" s="57">
        <v>43220</v>
      </c>
      <c r="B42" s="53"/>
      <c r="C42" s="53"/>
      <c r="D42" s="53"/>
      <c r="E42" s="53"/>
    </row>
    <row r="43" spans="1:5">
      <c r="A43" s="57">
        <v>43251</v>
      </c>
      <c r="B43" s="53"/>
      <c r="C43" s="53"/>
      <c r="D43" s="53"/>
      <c r="E43" s="53"/>
    </row>
    <row r="44" spans="1:5">
      <c r="A44" s="57">
        <v>43281</v>
      </c>
      <c r="B44" s="53"/>
      <c r="C44" s="53"/>
      <c r="D44" s="53"/>
      <c r="E44" s="53"/>
    </row>
    <row r="45" spans="1:5">
      <c r="A45" s="57">
        <v>43312</v>
      </c>
      <c r="B45" s="53"/>
      <c r="C45" s="53"/>
      <c r="D45" s="53"/>
      <c r="E45" s="53"/>
    </row>
    <row r="46" spans="1:5">
      <c r="A46" s="57">
        <v>43343</v>
      </c>
      <c r="B46" s="53"/>
      <c r="C46" s="53"/>
      <c r="D46" s="53"/>
      <c r="E46" s="53"/>
    </row>
    <row r="47" spans="1:5">
      <c r="A47" s="57">
        <v>43373</v>
      </c>
      <c r="B47" s="53"/>
      <c r="C47" s="53"/>
      <c r="D47" s="53"/>
      <c r="E47" s="53"/>
    </row>
    <row r="48" spans="1:5">
      <c r="A48" s="57">
        <v>43404</v>
      </c>
      <c r="B48" s="53"/>
      <c r="C48" s="53"/>
      <c r="D48" s="53"/>
      <c r="E48" s="53"/>
    </row>
    <row r="49" spans="1:5">
      <c r="A49" s="57">
        <v>43434</v>
      </c>
      <c r="B49" s="53"/>
      <c r="C49" s="53"/>
      <c r="D49" s="53"/>
      <c r="E49" s="53"/>
    </row>
    <row r="50" spans="1:5">
      <c r="A50" s="57">
        <v>43465</v>
      </c>
      <c r="B50" s="53"/>
      <c r="C50" s="53"/>
      <c r="D50" s="53"/>
      <c r="E50" s="53"/>
    </row>
    <row r="51" spans="1:5">
      <c r="A51" s="57">
        <v>43496</v>
      </c>
      <c r="B51" s="53"/>
      <c r="C51" s="53"/>
      <c r="D51" s="53"/>
      <c r="E51" s="53"/>
    </row>
    <row r="52" spans="1:5">
      <c r="A52" s="57">
        <v>43524</v>
      </c>
      <c r="B52" s="53"/>
      <c r="C52" s="53"/>
      <c r="D52" s="53"/>
      <c r="E52" s="53"/>
    </row>
    <row r="53" spans="1:5">
      <c r="A53" s="57">
        <v>43555</v>
      </c>
      <c r="B53" s="53"/>
      <c r="C53" s="53"/>
      <c r="D53" s="53"/>
      <c r="E53" s="53"/>
    </row>
    <row r="54" spans="1:5">
      <c r="A54" s="57">
        <v>43585</v>
      </c>
      <c r="B54" s="53"/>
      <c r="C54" s="53"/>
      <c r="D54" s="53"/>
      <c r="E54" s="53"/>
    </row>
    <row r="55" spans="1:5">
      <c r="A55" s="57">
        <v>43616</v>
      </c>
      <c r="B55" s="53"/>
      <c r="C55" s="53"/>
      <c r="D55" s="53"/>
      <c r="E55" s="53"/>
    </row>
    <row r="56" spans="1:5">
      <c r="A56" s="57">
        <v>43646</v>
      </c>
      <c r="B56" s="53"/>
      <c r="C56" s="53"/>
      <c r="D56" s="53"/>
      <c r="E56" s="53"/>
    </row>
    <row r="57" spans="1:5">
      <c r="A57" s="57">
        <v>43677</v>
      </c>
      <c r="B57" s="53"/>
      <c r="C57" s="53"/>
      <c r="D57" s="53"/>
      <c r="E57" s="53"/>
    </row>
    <row r="58" spans="1:5">
      <c r="A58" s="57">
        <v>43708</v>
      </c>
      <c r="B58" s="53"/>
      <c r="C58" s="53"/>
      <c r="D58" s="53"/>
      <c r="E58" s="53"/>
    </row>
    <row r="59" spans="1:5">
      <c r="A59" s="57">
        <v>43738</v>
      </c>
      <c r="B59" s="53"/>
      <c r="C59" s="53"/>
      <c r="D59" s="53"/>
      <c r="E59" s="53"/>
    </row>
    <row r="60" spans="1:5">
      <c r="A60" s="57">
        <v>43769</v>
      </c>
      <c r="B60" s="53"/>
      <c r="C60" s="53"/>
      <c r="D60" s="53"/>
      <c r="E60" s="53"/>
    </row>
    <row r="61" spans="1:5">
      <c r="A61" s="57">
        <v>43799</v>
      </c>
      <c r="B61" s="53"/>
      <c r="C61" s="53"/>
      <c r="D61" s="53"/>
      <c r="E61" s="53"/>
    </row>
    <row r="62" spans="1:5">
      <c r="A62" s="57">
        <v>43830</v>
      </c>
      <c r="B62" s="53"/>
      <c r="C62" s="53"/>
      <c r="D62" s="53"/>
      <c r="E62" s="53"/>
    </row>
    <row r="63" spans="1:5">
      <c r="A63" s="57">
        <v>43861</v>
      </c>
      <c r="B63" s="53"/>
      <c r="C63" s="53"/>
      <c r="D63" s="53"/>
      <c r="E63" s="53"/>
    </row>
    <row r="64" spans="1:5">
      <c r="A64" s="57">
        <v>43890</v>
      </c>
      <c r="B64" s="53"/>
      <c r="C64" s="53"/>
      <c r="D64" s="53"/>
      <c r="E64" s="53"/>
    </row>
    <row r="65" spans="1:5">
      <c r="A65" s="57">
        <v>43921</v>
      </c>
      <c r="B65" s="53"/>
      <c r="C65" s="53"/>
      <c r="D65" s="53"/>
      <c r="E65" s="53"/>
    </row>
    <row r="66" spans="1:5">
      <c r="A66" s="57">
        <v>43951</v>
      </c>
      <c r="B66" s="53"/>
      <c r="C66" s="53"/>
      <c r="D66" s="53"/>
      <c r="E66" s="53"/>
    </row>
    <row r="67" spans="1:5">
      <c r="A67" s="57">
        <v>43982</v>
      </c>
      <c r="B67" s="53"/>
      <c r="C67" s="53"/>
      <c r="D67" s="53"/>
      <c r="E67" s="53"/>
    </row>
    <row r="68" spans="1:5">
      <c r="A68" s="57">
        <f>A67+31</f>
        <v>44013</v>
      </c>
      <c r="B68" s="53"/>
      <c r="C68" s="53"/>
      <c r="D68" s="53"/>
      <c r="E68" s="53"/>
    </row>
    <row r="69" spans="1:5">
      <c r="A69" s="57">
        <f t="shared" ref="A69:A103" si="0">A68+31</f>
        <v>44044</v>
      </c>
      <c r="B69" s="53"/>
      <c r="C69" s="53"/>
      <c r="D69" s="53"/>
      <c r="E69" s="53"/>
    </row>
    <row r="70" spans="1:5">
      <c r="A70" s="57">
        <f t="shared" si="0"/>
        <v>44075</v>
      </c>
      <c r="B70" s="53"/>
      <c r="C70" s="53"/>
      <c r="D70" s="53"/>
      <c r="E70" s="53"/>
    </row>
    <row r="71" spans="1:5">
      <c r="A71" s="57">
        <f t="shared" si="0"/>
        <v>44106</v>
      </c>
      <c r="B71" s="53"/>
      <c r="C71" s="53"/>
      <c r="D71" s="53"/>
      <c r="E71" s="53"/>
    </row>
    <row r="72" spans="1:5">
      <c r="A72" s="57">
        <f t="shared" si="0"/>
        <v>44137</v>
      </c>
      <c r="B72" s="53"/>
      <c r="C72" s="53"/>
      <c r="D72" s="53"/>
      <c r="E72" s="53"/>
    </row>
    <row r="73" spans="1:5">
      <c r="A73" s="57">
        <f t="shared" si="0"/>
        <v>44168</v>
      </c>
      <c r="B73" s="53"/>
      <c r="C73" s="53"/>
      <c r="D73" s="53"/>
      <c r="E73" s="53"/>
    </row>
    <row r="74" spans="1:5">
      <c r="A74" s="57">
        <f t="shared" si="0"/>
        <v>44199</v>
      </c>
      <c r="B74" s="53"/>
      <c r="C74" s="53"/>
      <c r="D74" s="53"/>
      <c r="E74" s="53"/>
    </row>
    <row r="75" spans="1:5">
      <c r="A75" s="57">
        <f t="shared" si="0"/>
        <v>44230</v>
      </c>
      <c r="B75" s="53"/>
      <c r="C75" s="53"/>
      <c r="D75" s="53"/>
      <c r="E75" s="53"/>
    </row>
    <row r="76" spans="1:5">
      <c r="A76" s="57">
        <f t="shared" si="0"/>
        <v>44261</v>
      </c>
      <c r="B76" s="53"/>
      <c r="C76" s="53"/>
      <c r="D76" s="53"/>
      <c r="E76" s="53"/>
    </row>
    <row r="77" spans="1:5">
      <c r="A77" s="57">
        <f t="shared" si="0"/>
        <v>44292</v>
      </c>
      <c r="B77" s="53"/>
      <c r="C77" s="53"/>
      <c r="D77" s="53"/>
      <c r="E77" s="53"/>
    </row>
    <row r="78" spans="1:5">
      <c r="A78" s="57">
        <f t="shared" si="0"/>
        <v>44323</v>
      </c>
      <c r="B78" s="53"/>
      <c r="C78" s="53"/>
      <c r="D78" s="53"/>
      <c r="E78" s="53"/>
    </row>
    <row r="79" spans="1:5">
      <c r="A79" s="57">
        <f t="shared" si="0"/>
        <v>44354</v>
      </c>
      <c r="B79" s="53"/>
      <c r="C79" s="53"/>
      <c r="D79" s="53"/>
      <c r="E79" s="53"/>
    </row>
    <row r="80" spans="1:5">
      <c r="A80" s="57">
        <f t="shared" si="0"/>
        <v>44385</v>
      </c>
      <c r="B80" s="53"/>
      <c r="C80" s="53"/>
      <c r="D80" s="53"/>
      <c r="E80" s="53"/>
    </row>
    <row r="81" spans="1:5">
      <c r="A81" s="57">
        <f t="shared" si="0"/>
        <v>44416</v>
      </c>
      <c r="B81" s="53"/>
      <c r="C81" s="53"/>
      <c r="D81" s="53"/>
      <c r="E81" s="53"/>
    </row>
    <row r="82" spans="1:5">
      <c r="A82" s="57">
        <f t="shared" si="0"/>
        <v>44447</v>
      </c>
      <c r="B82" s="53"/>
      <c r="C82" s="53"/>
      <c r="D82" s="53"/>
      <c r="E82" s="53"/>
    </row>
    <row r="83" spans="1:5">
      <c r="A83" s="57">
        <f t="shared" si="0"/>
        <v>44478</v>
      </c>
      <c r="B83" s="53"/>
      <c r="C83" s="53"/>
      <c r="D83" s="53"/>
      <c r="E83" s="53"/>
    </row>
    <row r="84" spans="1:5">
      <c r="A84" s="57">
        <f t="shared" si="0"/>
        <v>44509</v>
      </c>
      <c r="B84" s="53"/>
      <c r="C84" s="53"/>
      <c r="D84" s="53"/>
      <c r="E84" s="53"/>
    </row>
    <row r="85" spans="1:5">
      <c r="A85" s="57">
        <f t="shared" si="0"/>
        <v>44540</v>
      </c>
      <c r="B85" s="53"/>
      <c r="C85" s="53"/>
      <c r="D85" s="53"/>
      <c r="E85" s="53"/>
    </row>
    <row r="86" spans="1:5">
      <c r="A86" s="57">
        <f t="shared" si="0"/>
        <v>44571</v>
      </c>
      <c r="B86" s="53"/>
      <c r="C86" s="53"/>
      <c r="D86" s="53"/>
      <c r="E86" s="53"/>
    </row>
    <row r="87" spans="1:5">
      <c r="A87" s="57">
        <f t="shared" si="0"/>
        <v>44602</v>
      </c>
      <c r="B87" s="53"/>
      <c r="C87" s="53"/>
      <c r="D87" s="53"/>
      <c r="E87" s="53"/>
    </row>
    <row r="88" spans="1:5">
      <c r="A88" s="57">
        <f t="shared" si="0"/>
        <v>44633</v>
      </c>
      <c r="B88" s="53"/>
      <c r="C88" s="53"/>
      <c r="D88" s="53"/>
      <c r="E88" s="53"/>
    </row>
    <row r="89" spans="1:5">
      <c r="A89" s="57">
        <f t="shared" si="0"/>
        <v>44664</v>
      </c>
      <c r="B89" s="53"/>
      <c r="C89" s="53"/>
      <c r="D89" s="53"/>
      <c r="E89" s="53"/>
    </row>
    <row r="90" spans="1:5">
      <c r="A90" s="57">
        <f t="shared" si="0"/>
        <v>44695</v>
      </c>
      <c r="B90" s="53"/>
      <c r="C90" s="53"/>
      <c r="D90" s="53"/>
      <c r="E90" s="53"/>
    </row>
    <row r="91" spans="1:5">
      <c r="A91" s="57">
        <f t="shared" si="0"/>
        <v>44726</v>
      </c>
      <c r="B91" s="53"/>
      <c r="C91" s="53"/>
      <c r="D91" s="53"/>
      <c r="E91" s="53"/>
    </row>
    <row r="92" spans="1:5">
      <c r="A92" s="57">
        <f t="shared" si="0"/>
        <v>44757</v>
      </c>
      <c r="B92" s="53"/>
      <c r="C92" s="53"/>
      <c r="D92" s="53"/>
      <c r="E92" s="53"/>
    </row>
    <row r="93" spans="1:5">
      <c r="A93" s="57">
        <f t="shared" si="0"/>
        <v>44788</v>
      </c>
      <c r="B93" s="53"/>
      <c r="C93" s="53"/>
      <c r="D93" s="53"/>
      <c r="E93" s="53"/>
    </row>
    <row r="94" spans="1:5">
      <c r="A94" s="57">
        <f t="shared" si="0"/>
        <v>44819</v>
      </c>
      <c r="B94" s="53"/>
      <c r="C94" s="53"/>
      <c r="D94" s="53"/>
      <c r="E94" s="53"/>
    </row>
    <row r="95" spans="1:5">
      <c r="A95" s="57">
        <f t="shared" si="0"/>
        <v>44850</v>
      </c>
      <c r="B95" s="53"/>
      <c r="C95" s="53"/>
      <c r="D95" s="53"/>
      <c r="E95" s="53"/>
    </row>
    <row r="96" spans="1:5">
      <c r="A96" s="57">
        <f t="shared" si="0"/>
        <v>44881</v>
      </c>
      <c r="B96" s="53"/>
      <c r="C96" s="53"/>
      <c r="D96" s="53"/>
      <c r="E96" s="53"/>
    </row>
    <row r="97" spans="1:5">
      <c r="A97" s="57">
        <f t="shared" si="0"/>
        <v>44912</v>
      </c>
      <c r="B97" s="53"/>
      <c r="C97" s="53"/>
      <c r="D97" s="53"/>
      <c r="E97" s="53"/>
    </row>
    <row r="98" spans="1:5">
      <c r="A98" s="57">
        <f t="shared" si="0"/>
        <v>44943</v>
      </c>
      <c r="B98" s="53"/>
      <c r="C98" s="53"/>
      <c r="D98" s="53"/>
      <c r="E98" s="53"/>
    </row>
    <row r="99" spans="1:5">
      <c r="A99" s="57">
        <f t="shared" si="0"/>
        <v>44974</v>
      </c>
      <c r="B99" s="53"/>
      <c r="C99" s="53"/>
      <c r="D99" s="53"/>
      <c r="E99" s="53"/>
    </row>
    <row r="100" spans="1:5">
      <c r="A100" s="57">
        <f t="shared" si="0"/>
        <v>45005</v>
      </c>
      <c r="B100" s="53"/>
      <c r="C100" s="53"/>
      <c r="D100" s="53"/>
      <c r="E100" s="53"/>
    </row>
    <row r="101" spans="1:5">
      <c r="A101" s="57">
        <f t="shared" si="0"/>
        <v>45036</v>
      </c>
      <c r="B101" s="53"/>
      <c r="C101" s="53"/>
      <c r="D101" s="53"/>
      <c r="E101" s="53"/>
    </row>
    <row r="102" spans="1:5">
      <c r="A102" s="57">
        <f t="shared" si="0"/>
        <v>45067</v>
      </c>
      <c r="B102" s="53"/>
      <c r="C102" s="53"/>
      <c r="D102" s="53"/>
      <c r="E102" s="53"/>
    </row>
    <row r="103" spans="1:5">
      <c r="A103" s="57">
        <f t="shared" si="0"/>
        <v>45098</v>
      </c>
      <c r="B103" s="53"/>
      <c r="C103" s="53"/>
      <c r="D103" s="53"/>
      <c r="E103" s="53"/>
    </row>
    <row r="104" spans="1:5">
      <c r="A104" s="57"/>
    </row>
    <row r="105" spans="1:5">
      <c r="A105" s="57"/>
    </row>
    <row r="106" spans="1:5">
      <c r="A106" s="57"/>
    </row>
    <row r="107" spans="1:5">
      <c r="A107" s="57"/>
    </row>
    <row r="108" spans="1:5">
      <c r="A108" s="57"/>
    </row>
    <row r="109" spans="1:5">
      <c r="A109" s="57"/>
    </row>
    <row r="110" spans="1:5">
      <c r="A110" s="57"/>
    </row>
    <row r="111" spans="1:5">
      <c r="A111" s="57"/>
    </row>
    <row r="112" spans="1:5">
      <c r="A112" s="57"/>
    </row>
    <row r="113" spans="1:1">
      <c r="A113" s="57"/>
    </row>
    <row r="114" spans="1:1">
      <c r="A114" s="57"/>
    </row>
    <row r="115" spans="1:1">
      <c r="A115" s="57"/>
    </row>
    <row r="116" spans="1:1">
      <c r="A116" s="57"/>
    </row>
    <row r="117" spans="1:1">
      <c r="A117" s="57"/>
    </row>
    <row r="118" spans="1:1">
      <c r="A118" s="57"/>
    </row>
    <row r="119" spans="1:1">
      <c r="A119" s="57"/>
    </row>
    <row r="120" spans="1:1">
      <c r="A120" s="57"/>
    </row>
    <row r="121" spans="1:1">
      <c r="A121" s="57"/>
    </row>
    <row r="122" spans="1:1">
      <c r="A122" s="57"/>
    </row>
    <row r="123" spans="1:1">
      <c r="A123" s="57"/>
    </row>
    <row r="124" spans="1:1">
      <c r="A124" s="57"/>
    </row>
    <row r="125" spans="1:1">
      <c r="A125" s="57"/>
    </row>
    <row r="126" spans="1:1">
      <c r="A126" s="57"/>
    </row>
    <row r="127" spans="1:1">
      <c r="A127" s="57"/>
    </row>
    <row r="134" spans="11:11">
      <c r="K134" s="52"/>
    </row>
    <row r="135" spans="11:11">
      <c r="K135" s="52"/>
    </row>
    <row r="136" spans="11:11">
      <c r="K136" s="52"/>
    </row>
    <row r="137" spans="11:11">
      <c r="K137" s="52"/>
    </row>
    <row r="138" spans="11:11">
      <c r="K138" s="52"/>
    </row>
    <row r="139" spans="11:11">
      <c r="K139" s="52"/>
    </row>
    <row r="140" spans="11:11">
      <c r="K140" s="52"/>
    </row>
    <row r="141" spans="11:11">
      <c r="K141" s="52"/>
    </row>
    <row r="142" spans="11:11">
      <c r="K142" s="52"/>
    </row>
    <row r="143" spans="11:11">
      <c r="K143" s="52"/>
    </row>
    <row r="144" spans="11:11">
      <c r="K144" s="52"/>
    </row>
    <row r="145" spans="11:11">
      <c r="K145" s="52"/>
    </row>
    <row r="146" spans="11:11">
      <c r="K146" s="52"/>
    </row>
    <row r="147" spans="11:11">
      <c r="K147" s="52"/>
    </row>
    <row r="148" spans="11:11">
      <c r="K148" s="52"/>
    </row>
    <row r="149" spans="11:11">
      <c r="K149" s="52"/>
    </row>
    <row r="150" spans="11:11">
      <c r="K150" s="52"/>
    </row>
    <row r="151" spans="11:11">
      <c r="K151" s="52"/>
    </row>
    <row r="152" spans="11:11">
      <c r="K152" s="52"/>
    </row>
    <row r="153" spans="11:11">
      <c r="K153" s="52"/>
    </row>
    <row r="154" spans="11:11">
      <c r="K154" s="52"/>
    </row>
    <row r="155" spans="11:11">
      <c r="K155" s="52"/>
    </row>
    <row r="156" spans="11:11">
      <c r="K156" s="52"/>
    </row>
    <row r="157" spans="11:11">
      <c r="K157" s="52"/>
    </row>
    <row r="158" spans="11:11">
      <c r="K158" s="5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5EOHSE32ZJWQX42PO5HZXDKATYIDQTIZ:ms-officescript%3A%2F%2Fonedrive_business_sharinglink%2Fu!aHR0cHM6Ly9sc3VtYWlsMi1teS5zaGFyZXBvaW50LmNvbS86dTovZy9wZXJzb25hbC9qb3NoYm91ZHJlYXV4X2xzdV9lZHUvRVhyS2JRdnpUM2RQbTQxQW5oQTRUUmtCRWtubTFoUnVOcWU5N1ItMG9NQ05Vdw"/>
</scriptIds>
</file>

<file path=customXml/itemProps1.xml><?xml version="1.0" encoding="utf-8"?>
<ds:datastoreItem xmlns:ds="http://schemas.openxmlformats.org/officeDocument/2006/customXml" ds:itemID="{21B67FFF-C629-49C2-9B70-3A525548D305}">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Generic 5yr Budget One Column </vt:lpstr>
      <vt:lpstr>Look up tables</vt:lpstr>
      <vt:lpstr>Dates2027</vt:lpstr>
      <vt:lpstr>'Generic 5yr Budget One Column '!Print_Area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2023-12-11T17:08:45Z</cp:lastPrinted>
  <dcterms:created xsi:type="dcterms:W3CDTF">1999-02-04T15:36:47Z</dcterms:created>
  <dcterms:modified xsi:type="dcterms:W3CDTF">2024-11-21T15:49:26Z</dcterms:modified>
</cp:coreProperties>
</file>